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243\Documents\PQs\National Assembly PQs\Submitted 25 November 2022\"/>
    </mc:Choice>
  </mc:AlternateContent>
  <xr:revisionPtr revIDLastSave="0" documentId="8_{14EF0FD0-36C1-439E-8339-532787C42B50}" xr6:coauthVersionLast="47" xr6:coauthVersionMax="47" xr10:uidLastSave="{00000000-0000-0000-0000-000000000000}"/>
  <bookViews>
    <workbookView xWindow="-110" yWindow="-110" windowWidth="19420" windowHeight="10420" activeTab="2" xr2:uid="{A622B730-6F65-4254-AA48-1AE7E6BDD416}"/>
  </bookViews>
  <sheets>
    <sheet name="(a)(i)Spending" sheetId="2" r:id="rId1"/>
    <sheet name="(b)(i)Beneficiaries" sheetId="1" r:id="rId2"/>
    <sheet name="a&amp;b(ii)SRD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3" l="1"/>
  <c r="B18" i="3"/>
  <c r="I25" i="3"/>
  <c r="G25" i="3"/>
  <c r="F25" i="3"/>
  <c r="E25" i="3"/>
  <c r="D25" i="3"/>
  <c r="C25" i="3"/>
  <c r="B25" i="3"/>
  <c r="I24" i="3"/>
  <c r="G24" i="3"/>
  <c r="F24" i="3"/>
  <c r="E24" i="3"/>
  <c r="D24" i="3"/>
  <c r="C24" i="3"/>
  <c r="B24" i="3"/>
  <c r="G23" i="3"/>
  <c r="F23" i="3"/>
  <c r="E23" i="3"/>
  <c r="D23" i="3"/>
  <c r="C23" i="3"/>
  <c r="B23" i="3"/>
  <c r="I22" i="3"/>
  <c r="G22" i="3"/>
  <c r="F22" i="3"/>
  <c r="E22" i="3"/>
  <c r="D22" i="3"/>
  <c r="C22" i="3"/>
  <c r="B22" i="3"/>
  <c r="G21" i="3"/>
  <c r="F21" i="3"/>
  <c r="E21" i="3"/>
  <c r="D21" i="3"/>
  <c r="C21" i="3"/>
  <c r="B21" i="3"/>
  <c r="I20" i="3"/>
  <c r="G20" i="3"/>
  <c r="F20" i="3"/>
  <c r="E20" i="3"/>
  <c r="D20" i="3"/>
  <c r="C20" i="3"/>
  <c r="B20" i="3"/>
  <c r="G19" i="3"/>
  <c r="F19" i="3"/>
  <c r="E19" i="3"/>
  <c r="D19" i="3"/>
  <c r="C19" i="3"/>
  <c r="B19" i="3"/>
  <c r="I18" i="3"/>
  <c r="G18" i="3"/>
  <c r="F18" i="3"/>
  <c r="E18" i="3"/>
  <c r="D18" i="3"/>
  <c r="C18" i="3"/>
  <c r="I17" i="3"/>
  <c r="G17" i="3"/>
  <c r="F17" i="3"/>
  <c r="E17" i="3"/>
  <c r="D17" i="3"/>
  <c r="C17" i="3"/>
  <c r="F26" i="3" l="1"/>
  <c r="E26" i="3"/>
  <c r="B26" i="3" l="1"/>
  <c r="C26" i="3"/>
  <c r="D26" i="3"/>
  <c r="G26" i="3"/>
  <c r="H26" i="3"/>
  <c r="B3" i="3"/>
  <c r="C3" i="3"/>
  <c r="D3" i="3"/>
  <c r="E3" i="3"/>
  <c r="B4" i="3"/>
  <c r="C4" i="3"/>
  <c r="D4" i="3"/>
  <c r="E4" i="3"/>
  <c r="B5" i="3"/>
  <c r="C5" i="3"/>
  <c r="D5" i="3"/>
  <c r="E5" i="3"/>
  <c r="B6" i="3"/>
  <c r="C6" i="3"/>
  <c r="D6" i="3"/>
  <c r="E6" i="3"/>
  <c r="B7" i="3"/>
  <c r="C7" i="3"/>
  <c r="D7" i="3"/>
  <c r="E7" i="3"/>
  <c r="B8" i="3"/>
  <c r="C8" i="3"/>
  <c r="D8" i="3"/>
  <c r="E8" i="3"/>
  <c r="B9" i="3"/>
  <c r="C9" i="3"/>
  <c r="D9" i="3"/>
  <c r="E9" i="3"/>
  <c r="B10" i="3"/>
  <c r="C10" i="3"/>
  <c r="D10" i="3"/>
  <c r="E10" i="3"/>
  <c r="B11" i="3"/>
  <c r="C11" i="3"/>
  <c r="D11" i="3"/>
  <c r="E11" i="3"/>
  <c r="I4" i="3"/>
  <c r="I5" i="3"/>
  <c r="I6" i="3"/>
  <c r="I7" i="3"/>
  <c r="I8" i="3"/>
  <c r="I9" i="3"/>
  <c r="I10" i="3"/>
  <c r="I11" i="3"/>
  <c r="I3" i="3"/>
  <c r="I26" i="3" l="1"/>
  <c r="I12" i="3"/>
  <c r="P11" i="1" s="1"/>
  <c r="G4" i="3"/>
  <c r="G5" i="3"/>
  <c r="G6" i="3"/>
  <c r="G7" i="3"/>
  <c r="G8" i="3"/>
  <c r="G9" i="3"/>
  <c r="G10" i="3"/>
  <c r="G11" i="3"/>
  <c r="G3" i="3" l="1"/>
  <c r="G12" i="3" s="1"/>
  <c r="O11" i="1" s="1"/>
  <c r="H4" i="3" l="1"/>
  <c r="H5" i="3"/>
  <c r="H6" i="3"/>
  <c r="H7" i="3"/>
  <c r="H8" i="3"/>
  <c r="H9" i="3"/>
  <c r="H10" i="3"/>
  <c r="H11" i="3"/>
  <c r="H3" i="3"/>
  <c r="F4" i="3"/>
  <c r="F5" i="3"/>
  <c r="F6" i="3"/>
  <c r="F7" i="3"/>
  <c r="F8" i="3"/>
  <c r="F9" i="3"/>
  <c r="F10" i="3"/>
  <c r="F11" i="3"/>
  <c r="F3" i="3"/>
  <c r="C12" i="3" l="1"/>
  <c r="B12" i="3"/>
  <c r="H12" i="3"/>
  <c r="F12" i="3"/>
  <c r="E12" i="3"/>
  <c r="D12" i="3"/>
  <c r="O14" i="2" l="1"/>
  <c r="O22" i="2"/>
  <c r="O21" i="2"/>
  <c r="O20" i="2"/>
  <c r="O19" i="2"/>
  <c r="O18" i="2"/>
  <c r="O17" i="2"/>
  <c r="O16" i="2"/>
  <c r="O15" i="2"/>
  <c r="P17" i="2"/>
  <c r="P22" i="2"/>
  <c r="P21" i="2"/>
  <c r="P20" i="2"/>
  <c r="P19" i="2"/>
  <c r="P18" i="2"/>
  <c r="P16" i="2"/>
  <c r="P15" i="2"/>
  <c r="P14" i="2"/>
  <c r="N14" i="2" l="1"/>
  <c r="N21" i="2"/>
  <c r="N20" i="2"/>
  <c r="N19" i="2"/>
  <c r="N18" i="2"/>
  <c r="N17" i="2"/>
  <c r="N16" i="2"/>
  <c r="N15" i="2"/>
  <c r="N22" i="2"/>
  <c r="M21" i="2" l="1"/>
  <c r="M20" i="2"/>
  <c r="M19" i="2"/>
  <c r="M18" i="2"/>
  <c r="M17" i="2"/>
  <c r="M16" i="2"/>
  <c r="M15" i="2"/>
  <c r="M14" i="2"/>
  <c r="M22" i="2"/>
  <c r="L20" i="2" l="1"/>
  <c r="L21" i="2"/>
  <c r="L19" i="2"/>
  <c r="L18" i="2"/>
  <c r="L17" i="2"/>
  <c r="L16" i="2"/>
  <c r="L15" i="2"/>
  <c r="L14" i="2"/>
  <c r="L22" i="2"/>
  <c r="K19" i="2" l="1"/>
  <c r="K21" i="2"/>
  <c r="K20" i="2"/>
  <c r="K18" i="2"/>
  <c r="K17" i="2"/>
  <c r="K16" i="2"/>
  <c r="K15" i="2"/>
  <c r="K14" i="2"/>
  <c r="K22" i="2"/>
  <c r="J20" i="2" l="1"/>
  <c r="J21" i="2"/>
  <c r="J19" i="2"/>
  <c r="J18" i="2"/>
  <c r="J17" i="2"/>
  <c r="J16" i="2"/>
  <c r="J15" i="2"/>
  <c r="J14" i="2"/>
  <c r="J22" i="2"/>
  <c r="I21" i="2" l="1"/>
  <c r="I20" i="2"/>
  <c r="I19" i="2"/>
  <c r="I18" i="2"/>
  <c r="I17" i="2"/>
  <c r="I16" i="2"/>
  <c r="I15" i="2"/>
  <c r="I14" i="2"/>
  <c r="I22" i="2"/>
  <c r="H21" i="2" l="1"/>
  <c r="G21" i="2"/>
  <c r="H20" i="2"/>
  <c r="H19" i="2"/>
  <c r="H18" i="2"/>
  <c r="H17" i="2"/>
  <c r="H16" i="2"/>
  <c r="H15" i="2"/>
  <c r="H14" i="2"/>
  <c r="H22" i="2"/>
  <c r="G16" i="2" l="1"/>
  <c r="G20" i="2"/>
  <c r="G19" i="2"/>
  <c r="G18" i="2"/>
  <c r="G17" i="2"/>
  <c r="G15" i="2"/>
  <c r="G14" i="2"/>
  <c r="G22" i="2"/>
  <c r="Q15" i="2" l="1"/>
  <c r="Q16" i="2"/>
  <c r="Q17" i="2"/>
  <c r="Q18" i="2"/>
  <c r="Q19" i="2"/>
  <c r="Q20" i="2"/>
  <c r="Q21" i="2"/>
  <c r="Q22" i="2"/>
  <c r="Q14" i="2"/>
  <c r="E25" i="1" l="1"/>
  <c r="E24" i="1"/>
  <c r="E23" i="1"/>
  <c r="E22" i="1"/>
  <c r="E21" i="1"/>
  <c r="E20" i="1"/>
  <c r="E19" i="1"/>
  <c r="E18" i="1"/>
  <c r="E17" i="1"/>
  <c r="D25" i="1"/>
  <c r="D24" i="1"/>
  <c r="D23" i="1"/>
  <c r="D22" i="1"/>
  <c r="D21" i="1"/>
  <c r="D20" i="1"/>
  <c r="D19" i="1"/>
  <c r="D18" i="1"/>
  <c r="D17" i="1"/>
  <c r="C25" i="1"/>
  <c r="C24" i="1"/>
  <c r="C23" i="1"/>
  <c r="C22" i="1"/>
  <c r="C21" i="1"/>
  <c r="C20" i="1"/>
  <c r="C19" i="1"/>
  <c r="C18" i="1"/>
  <c r="C17" i="1"/>
  <c r="G25" i="1"/>
  <c r="G24" i="1"/>
  <c r="G23" i="1"/>
  <c r="G22" i="1"/>
  <c r="G21" i="1"/>
  <c r="G20" i="1"/>
  <c r="G19" i="1"/>
  <c r="G18" i="1"/>
  <c r="G17" i="1"/>
  <c r="H25" i="1"/>
  <c r="H24" i="1"/>
  <c r="H23" i="1"/>
  <c r="H22" i="1"/>
  <c r="H21" i="1"/>
  <c r="H20" i="1"/>
  <c r="H19" i="1"/>
  <c r="H18" i="1"/>
  <c r="H17" i="1"/>
  <c r="K25" i="1"/>
  <c r="K24" i="1"/>
  <c r="K23" i="1"/>
  <c r="K22" i="1"/>
  <c r="K21" i="1"/>
  <c r="K20" i="1"/>
  <c r="K19" i="1"/>
  <c r="K18" i="1"/>
  <c r="K17" i="1"/>
  <c r="L25" i="1"/>
  <c r="L24" i="1"/>
  <c r="L22" i="1"/>
  <c r="L23" i="1"/>
  <c r="L21" i="1"/>
  <c r="L20" i="1"/>
  <c r="L19" i="1"/>
  <c r="L18" i="1"/>
  <c r="L17" i="1"/>
  <c r="M25" i="1"/>
  <c r="M24" i="1"/>
  <c r="M23" i="1"/>
  <c r="M22" i="1"/>
  <c r="M21" i="1"/>
  <c r="M20" i="1"/>
  <c r="M19" i="1"/>
  <c r="M18" i="1"/>
  <c r="M17" i="1"/>
  <c r="C26" i="1" l="1"/>
  <c r="O25" i="1" l="1"/>
  <c r="O24" i="1"/>
  <c r="O23" i="1"/>
  <c r="O22" i="1"/>
  <c r="O21" i="1"/>
  <c r="O20" i="1"/>
  <c r="O19" i="1"/>
  <c r="O18" i="1"/>
  <c r="O17" i="1"/>
  <c r="N25" i="1"/>
  <c r="N24" i="1"/>
  <c r="N21" i="1"/>
  <c r="N23" i="1"/>
  <c r="N22" i="1"/>
  <c r="N20" i="1"/>
  <c r="N19" i="1"/>
  <c r="N18" i="1"/>
  <c r="N17" i="1"/>
  <c r="P25" i="1"/>
  <c r="P24" i="1"/>
  <c r="P23" i="1"/>
  <c r="P22" i="1"/>
  <c r="P21" i="1"/>
  <c r="P20" i="1"/>
  <c r="P19" i="1"/>
  <c r="P18" i="1"/>
  <c r="P17" i="1"/>
  <c r="J24" i="1"/>
  <c r="J18" i="1"/>
  <c r="J25" i="1"/>
  <c r="J23" i="1"/>
  <c r="J22" i="1"/>
  <c r="J21" i="1"/>
  <c r="J20" i="1"/>
  <c r="J19" i="1"/>
  <c r="J17" i="1"/>
  <c r="I25" i="1"/>
  <c r="I24" i="1"/>
  <c r="I23" i="1"/>
  <c r="I22" i="1"/>
  <c r="I21" i="1"/>
  <c r="I20" i="1"/>
  <c r="I18" i="1"/>
  <c r="I19" i="1"/>
  <c r="I17" i="1"/>
  <c r="F25" i="1"/>
  <c r="F24" i="1"/>
  <c r="F23" i="1"/>
  <c r="F22" i="1"/>
  <c r="F21" i="1"/>
  <c r="F20" i="1"/>
  <c r="F19" i="1"/>
  <c r="F18" i="1"/>
  <c r="F17" i="1"/>
  <c r="F26" i="1" l="1"/>
  <c r="E26" i="1"/>
  <c r="D26" i="1"/>
  <c r="B26" i="1"/>
  <c r="C23" i="2" l="1"/>
  <c r="D23" i="2"/>
  <c r="E23" i="2"/>
  <c r="F23" i="2"/>
  <c r="B23" i="2"/>
  <c r="K11" i="2" l="1"/>
  <c r="J11" i="2"/>
  <c r="H11" i="2"/>
  <c r="E11" i="2"/>
  <c r="P10" i="2"/>
  <c r="M10" i="2"/>
  <c r="M9" i="2"/>
  <c r="M8" i="2"/>
  <c r="M7" i="2"/>
  <c r="M6" i="2"/>
  <c r="M5" i="2"/>
  <c r="S4" i="2"/>
  <c r="S11" i="2" s="1"/>
  <c r="S23" i="2" s="1"/>
  <c r="R4" i="2"/>
  <c r="R11" i="2" s="1"/>
  <c r="R23" i="2" s="1"/>
  <c r="Q4" i="2"/>
  <c r="Q11" i="2" s="1"/>
  <c r="P4" i="2"/>
  <c r="O4" i="2"/>
  <c r="O11" i="2" s="1"/>
  <c r="N4" i="2"/>
  <c r="N11" i="2" s="1"/>
  <c r="M4" i="2"/>
  <c r="L4" i="2"/>
  <c r="L11" i="2" s="1"/>
  <c r="L12" i="2" s="1"/>
  <c r="I4" i="2"/>
  <c r="I11" i="2" s="1"/>
  <c r="I12" i="2" s="1"/>
  <c r="G4" i="2"/>
  <c r="G11" i="2" s="1"/>
  <c r="F4" i="2"/>
  <c r="F11" i="2" s="1"/>
  <c r="F12" i="2" s="1"/>
  <c r="D4" i="2"/>
  <c r="D11" i="2" s="1"/>
  <c r="C4" i="2"/>
  <c r="C11" i="2" s="1"/>
  <c r="C12" i="2" s="1"/>
  <c r="B4" i="2"/>
  <c r="B11" i="2" s="1"/>
  <c r="N11" i="1"/>
  <c r="M11" i="1"/>
  <c r="L11" i="1"/>
  <c r="K11" i="1"/>
  <c r="K10" i="1"/>
  <c r="K14" i="1" s="1"/>
  <c r="F7" i="1"/>
  <c r="S5" i="1"/>
  <c r="S10" i="1" s="1"/>
  <c r="S26" i="1" s="1"/>
  <c r="R5" i="1"/>
  <c r="R10" i="1" s="1"/>
  <c r="R26" i="1" s="1"/>
  <c r="Q5" i="1"/>
  <c r="Q10" i="1" s="1"/>
  <c r="Q26" i="1" s="1"/>
  <c r="P5" i="1"/>
  <c r="P10" i="1" s="1"/>
  <c r="O5" i="1"/>
  <c r="O10" i="1" s="1"/>
  <c r="N5" i="1"/>
  <c r="N10" i="1" s="1"/>
  <c r="M5" i="1"/>
  <c r="M10" i="1" s="1"/>
  <c r="L5" i="1"/>
  <c r="L10" i="1" s="1"/>
  <c r="K5" i="1"/>
  <c r="J5" i="1"/>
  <c r="J10" i="1" s="1"/>
  <c r="I5" i="1"/>
  <c r="I10" i="1" s="1"/>
  <c r="H5" i="1"/>
  <c r="H10" i="1" s="1"/>
  <c r="G5" i="1"/>
  <c r="G10" i="1" s="1"/>
  <c r="F5" i="1"/>
  <c r="E5" i="1"/>
  <c r="E10" i="1" s="1"/>
  <c r="D5" i="1"/>
  <c r="D10" i="1" s="1"/>
  <c r="C5" i="1"/>
  <c r="C10" i="1" s="1"/>
  <c r="B5" i="1"/>
  <c r="B10" i="1" s="1"/>
  <c r="B12" i="1" s="1"/>
  <c r="C14" i="1" l="1"/>
  <c r="K12" i="2"/>
  <c r="M14" i="1"/>
  <c r="F10" i="1"/>
  <c r="F14" i="1" s="1"/>
  <c r="D12" i="2"/>
  <c r="M11" i="2"/>
  <c r="M12" i="2" s="1"/>
  <c r="E12" i="2"/>
  <c r="J12" i="2"/>
  <c r="R12" i="2"/>
  <c r="P11" i="2"/>
  <c r="P12" i="2" s="1"/>
  <c r="S12" i="2"/>
  <c r="O12" i="2"/>
  <c r="G12" i="2"/>
  <c r="H12" i="2"/>
  <c r="Q12" i="2"/>
  <c r="O14" i="1"/>
  <c r="O12" i="1"/>
  <c r="P14" i="1"/>
  <c r="P12" i="1"/>
  <c r="I14" i="1"/>
  <c r="I12" i="1"/>
  <c r="Q14" i="1"/>
  <c r="Q12" i="1"/>
  <c r="S14" i="1"/>
  <c r="H14" i="1"/>
  <c r="H12" i="1"/>
  <c r="H15" i="1" s="1"/>
  <c r="R14" i="1"/>
  <c r="R12" i="1"/>
  <c r="G14" i="1"/>
  <c r="G12" i="1"/>
  <c r="J14" i="1"/>
  <c r="J12" i="1"/>
  <c r="D12" i="1"/>
  <c r="D14" i="1"/>
  <c r="L12" i="1"/>
  <c r="L14" i="1"/>
  <c r="F12" i="1"/>
  <c r="N12" i="1"/>
  <c r="N14" i="1"/>
  <c r="E14" i="1"/>
  <c r="M12" i="1"/>
  <c r="E12" i="1"/>
  <c r="C12" i="1"/>
  <c r="C15" i="1" s="1"/>
  <c r="K12" i="1"/>
  <c r="S12" i="1"/>
  <c r="J15" i="1" l="1"/>
  <c r="S15" i="1"/>
  <c r="Q15" i="1"/>
  <c r="F15" i="1"/>
  <c r="E15" i="1"/>
  <c r="P15" i="1"/>
  <c r="N12" i="2"/>
  <c r="M15" i="1"/>
  <c r="G15" i="1"/>
  <c r="K15" i="1"/>
  <c r="I15" i="1"/>
  <c r="R15" i="1"/>
  <c r="N15" i="1"/>
  <c r="L15" i="1"/>
  <c r="D15" i="1"/>
  <c r="O15" i="1"/>
  <c r="O26" i="1" l="1"/>
  <c r="L26" i="1"/>
  <c r="H26" i="1"/>
  <c r="M26" i="1"/>
  <c r="K26" i="1"/>
  <c r="I26" i="1"/>
  <c r="N26" i="1"/>
  <c r="G26" i="1"/>
  <c r="J26" i="1"/>
  <c r="P26" i="1"/>
  <c r="Q23" i="2"/>
  <c r="J23" i="2"/>
  <c r="H23" i="2"/>
  <c r="I23" i="2"/>
  <c r="M23" i="2"/>
  <c r="N23" i="2"/>
  <c r="L23" i="2"/>
  <c r="G23" i="2"/>
  <c r="K23" i="2"/>
  <c r="P23" i="2"/>
  <c r="O23" i="2"/>
  <c r="U26" i="1" l="1"/>
  <c r="U21" i="1"/>
  <c r="U19" i="1"/>
  <c r="U22" i="1"/>
  <c r="U25" i="1"/>
  <c r="U20" i="1"/>
  <c r="U23" i="1"/>
  <c r="U24" i="1"/>
  <c r="U17" i="1"/>
  <c r="U18" i="1"/>
  <c r="U23" i="2"/>
  <c r="U19" i="2"/>
  <c r="U15" i="2"/>
  <c r="U18" i="2"/>
  <c r="U21" i="2"/>
  <c r="U16" i="2"/>
  <c r="U14" i="2"/>
  <c r="U20" i="2"/>
  <c r="U17" i="2"/>
  <c r="U22" i="2"/>
  <c r="Q22" i="1" l="1"/>
  <c r="S22" i="1"/>
  <c r="R22" i="1"/>
  <c r="R23" i="1"/>
  <c r="S23" i="1"/>
  <c r="Q23" i="1"/>
  <c r="Q19" i="1"/>
  <c r="R19" i="1"/>
  <c r="S19" i="1"/>
  <c r="Q20" i="1"/>
  <c r="R20" i="1"/>
  <c r="S20" i="1"/>
  <c r="Q18" i="1"/>
  <c r="R18" i="1"/>
  <c r="S18" i="1"/>
  <c r="Q21" i="1"/>
  <c r="R21" i="1"/>
  <c r="S21" i="1"/>
  <c r="Q24" i="1"/>
  <c r="R24" i="1"/>
  <c r="S24" i="1"/>
  <c r="Q25" i="1"/>
  <c r="R25" i="1"/>
  <c r="S25" i="1"/>
  <c r="S17" i="1"/>
  <c r="Q17" i="1"/>
  <c r="R17" i="1"/>
  <c r="R20" i="2"/>
  <c r="S20" i="2"/>
  <c r="S14" i="2"/>
  <c r="R14" i="2"/>
  <c r="S16" i="2"/>
  <c r="R16" i="2"/>
  <c r="R21" i="2"/>
  <c r="S21" i="2"/>
  <c r="S18" i="2"/>
  <c r="R18" i="2"/>
  <c r="S15" i="2"/>
  <c r="R15" i="2"/>
  <c r="S22" i="2"/>
  <c r="R22" i="2"/>
  <c r="S19" i="2"/>
  <c r="R19" i="2"/>
  <c r="R17" i="2"/>
  <c r="S17" i="2"/>
</calcChain>
</file>

<file path=xl/sharedStrings.xml><?xml version="1.0" encoding="utf-8"?>
<sst xmlns="http://schemas.openxmlformats.org/spreadsheetml/2006/main" count="131" uniqueCount="57">
  <si>
    <t>Social grants beneficiary numbers by type, 2007/08 – 2024/25</t>
  </si>
  <si>
    <t>2007/08</t>
  </si>
  <si>
    <t>2008/09</t>
  </si>
  <si>
    <t>2009/10</t>
  </si>
  <si>
    <t xml:space="preserve"> 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</si>
  <si>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</si>
  <si>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</si>
  <si>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</si>
  <si>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</si>
  <si>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</si>
  <si>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</si>
  <si>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</si>
  <si>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</si>
  <si>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</si>
  <si>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</si>
  <si>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</si>
  <si>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</si>
  <si>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</si>
  <si>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</si>
  <si>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Actual</t>
  </si>
  <si>
    <t>Forecast</t>
  </si>
  <si>
    <t>Type of grant</t>
  </si>
  <si>
    <t>Disability</t>
  </si>
  <si>
    <t>Foster Child</t>
  </si>
  <si>
    <t>Care Dependency</t>
  </si>
  <si>
    <t>Child Support</t>
  </si>
  <si>
    <t>Subtotal</t>
  </si>
  <si>
    <t xml:space="preserve">Total </t>
  </si>
  <si>
    <t>Grant-in-aid</t>
  </si>
  <si>
    <t>Subtotal YoY Growth %</t>
  </si>
  <si>
    <t>Total YoY Growth %</t>
  </si>
  <si>
    <t>Social grants expenditure by type, 2007/08 – 2024/25</t>
  </si>
  <si>
    <t>2010/11</t>
  </si>
  <si>
    <t>R million</t>
  </si>
  <si>
    <t>Total</t>
  </si>
  <si>
    <t xml:space="preserve">YOY Growth % </t>
  </si>
  <si>
    <t>SRD</t>
  </si>
  <si>
    <t>Province</t>
  </si>
  <si>
    <t>Eastern Cape</t>
  </si>
  <si>
    <t>Free State</t>
  </si>
  <si>
    <t>Gauteng</t>
  </si>
  <si>
    <t>KwaZulu-Natal</t>
  </si>
  <si>
    <t>Limpopo</t>
  </si>
  <si>
    <t>Mpumalanga</t>
  </si>
  <si>
    <t>Northern Cape</t>
  </si>
  <si>
    <t>North West</t>
  </si>
  <si>
    <t>Western Cape</t>
  </si>
  <si>
    <t>Beneficiaries</t>
  </si>
  <si>
    <t>Spending</t>
  </si>
  <si>
    <t>Regular SRD</t>
  </si>
  <si>
    <r>
      <t>R350 SRD</t>
    </r>
    <r>
      <rPr>
        <b/>
        <vertAlign val="superscript"/>
        <sz val="8"/>
        <rFont val="Arial"/>
        <family val="2"/>
      </rPr>
      <t>1</t>
    </r>
  </si>
  <si>
    <t>1. Average approved applications for the financial year</t>
  </si>
  <si>
    <t>R Thousand</t>
  </si>
  <si>
    <r>
      <t>Old Age</t>
    </r>
    <r>
      <rPr>
        <vertAlign val="superscript"/>
        <sz val="8"/>
        <rFont val="Arial"/>
        <family val="2"/>
      </rPr>
      <t>1</t>
    </r>
  </si>
  <si>
    <r>
      <t>SRD</t>
    </r>
    <r>
      <rPr>
        <vertAlign val="superscript"/>
        <sz val="8"/>
        <rFont val="Arial"/>
        <family val="2"/>
      </rPr>
      <t>2</t>
    </r>
  </si>
  <si>
    <t>1. Includes war veterans grant</t>
  </si>
  <si>
    <t>2. Average approvals in financial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</si>
</sst>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2">
    <numFmt numFmtId="41" formatCode="_-* #,##0_-;\-* #,##0_-;_-* &quot;-&quot;_-;_-@_-"/>
    <numFmt numFmtId="43" formatCode="_-* #,##0.00_-;\-* #,##0.00_-;_-* &quot;-&quot;??_-;_-@_-"/>
    <numFmt numFmtId="164" formatCode="_(* #,##0_);_*\ \-#,##0_);_(* &quot;–&quot;_);_(@_)"/>
    <numFmt numFmtId="165" formatCode="yyyy/yy"/>
    <numFmt numFmtId="166" formatCode="_(* #,##0;_*\ \-#,##0;_(* &quot;–&quot;_);_(@_)"/>
    <numFmt numFmtId="167" formatCode="0.0%"/>
    <numFmt numFmtId="168" formatCode="#,##0_ ;\-#,##0\ "/>
    <numFmt numFmtId="169" formatCode="_ * #,##0.00_ ;_ * \-#,##0.00_ ;_ * &quot;-&quot;??_ ;_ @_ "/>
    <numFmt numFmtId="170" formatCode="_(&quot;$&quot;* #,##0.00_);_(&quot;$&quot;* \(#,##0.00\);_(&quot;$&quot;* &quot;-&quot;??_);_(@_)"/>
    <numFmt numFmtId="171" formatCode="_-&quot;£&quot;* #,##0_-;\-&quot;£&quot;* #,##0_-;_-&quot;£&quot;* &quot;-&quot;_-;_-@_-"/>
    <numFmt numFmtId="172" formatCode="_-&quot;£&quot;* #,##0.00_-;\-&quot;£&quot;* #,##0.00_-;_-&quot;£&quot;* &quot;-&quot;??_-;_-@_-"/>
    <numFmt numFmtId="173" formatCode="dd\-mmm\-yy_)"/>
    <numFmt numFmtId="174" formatCode="General_)"/>
    <numFmt numFmtId="175" formatCode="0.0%;\(0.0%\)"/>
    <numFmt numFmtId="176" formatCode="&quot;$&quot;#,##0.0"/>
    <numFmt numFmtId="177" formatCode="0.000000"/>
    <numFmt numFmtId="178" formatCode="0.00000"/>
    <numFmt numFmtId="179" formatCode="&quot;$&quot;#,##0,;\(&quot;$&quot;#,##0,\)"/>
    <numFmt numFmtId="180" formatCode="d/m/yy"/>
    <numFmt numFmtId="181" formatCode="d/m/yy\ h:mm"/>
    <numFmt numFmtId="182" formatCode="0.0000000"/>
    <numFmt numFmtId="183" formatCode="0.00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b/>
      <sz val="12"/>
      <name val="Arial"/>
      <family val="2"/>
    </font>
    <font>
      <b/>
      <sz val="18"/>
      <name val="Arial"/>
      <family val="2"/>
    </font>
    <font>
      <sz val="11"/>
      <color indexed="8"/>
      <name val="Calibri"/>
      <family val="2"/>
    </font>
    <font>
      <b/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9A0000"/>
      </bottom>
      <diagonal/>
    </border>
    <border>
      <left/>
      <right/>
      <top style="thin">
        <color indexed="64"/>
      </top>
      <bottom style="thin">
        <color rgb="FF9A0000"/>
      </bottom>
      <diagonal/>
    </border>
    <border>
      <left/>
      <right style="thin">
        <color indexed="64"/>
      </right>
      <top style="thin">
        <color indexed="64"/>
      </top>
      <bottom style="thin">
        <color rgb="FF9A0000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rgb="FF9A0000"/>
      </top>
      <bottom style="hair">
        <color indexed="64"/>
      </bottom>
      <diagonal/>
    </border>
    <border>
      <left/>
      <right/>
      <top style="hair">
        <color rgb="FF9A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rgb="FF9A0000"/>
      </top>
      <bottom style="hair">
        <color indexed="64"/>
      </bottom>
      <diagonal/>
    </border>
    <border>
      <left style="hair">
        <color indexed="64"/>
      </left>
      <right/>
      <top style="hair">
        <color rgb="FF9A0000"/>
      </top>
      <bottom style="hair">
        <color indexed="64"/>
      </bottom>
      <diagonal/>
    </border>
    <border>
      <left/>
      <right style="hair">
        <color indexed="64"/>
      </right>
      <top style="hair">
        <color rgb="FF9A0000"/>
      </top>
      <bottom style="hair">
        <color indexed="64"/>
      </bottom>
      <diagonal/>
    </border>
    <border>
      <left/>
      <right style="thin">
        <color indexed="64"/>
      </right>
      <top style="hair">
        <color rgb="FF9A0000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rgb="FF9A0000"/>
      </bottom>
      <diagonal/>
    </border>
    <border>
      <left style="hair">
        <color indexed="64"/>
      </left>
      <right style="hair">
        <color indexed="64"/>
      </right>
      <top/>
      <bottom style="hair">
        <color rgb="FF9A0000"/>
      </bottom>
      <diagonal/>
    </border>
    <border>
      <left/>
      <right style="hair">
        <color indexed="64"/>
      </right>
      <top/>
      <bottom style="hair">
        <color rgb="FF9A0000"/>
      </bottom>
      <diagonal/>
    </border>
    <border>
      <left style="hair">
        <color indexed="64"/>
      </left>
      <right/>
      <top/>
      <bottom style="hair">
        <color rgb="FF9A0000"/>
      </bottom>
      <diagonal/>
    </border>
    <border>
      <left style="hair">
        <color indexed="64"/>
      </left>
      <right style="thin">
        <color indexed="64"/>
      </right>
      <top/>
      <bottom style="hair">
        <color rgb="FF9A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67">
    <xf numFmtId="0" fontId="0" fillId="0" borderId="0"/>
    <xf numFmtId="9" fontId="1" fillId="0" borderId="0" applyFont="0" applyFill="0" applyBorder="0" applyAlignment="0" applyProtection="0"/>
    <xf numFmtId="0" fontId="8" fillId="0" borderId="0"/>
    <xf numFmtId="173" fontId="9" fillId="0" borderId="0" applyFill="0" applyBorder="0" applyAlignment="0"/>
    <xf numFmtId="174" fontId="9" fillId="0" borderId="0" applyFill="0" applyBorder="0" applyAlignment="0"/>
    <xf numFmtId="175" fontId="9" fillId="0" borderId="0" applyFill="0" applyBorder="0" applyAlignment="0"/>
    <xf numFmtId="176" fontId="9" fillId="0" borderId="0" applyFill="0" applyBorder="0" applyAlignment="0"/>
    <xf numFmtId="177" fontId="9" fillId="0" borderId="0" applyFill="0" applyBorder="0" applyAlignment="0"/>
    <xf numFmtId="173" fontId="9" fillId="0" borderId="0" applyFill="0" applyBorder="0" applyAlignment="0"/>
    <xf numFmtId="178" fontId="9" fillId="0" borderId="0" applyFill="0" applyBorder="0" applyAlignment="0"/>
    <xf numFmtId="174" fontId="9" fillId="0" borderId="0" applyFill="0" applyBorder="0" applyAlignment="0"/>
    <xf numFmtId="169" fontId="19" fillId="0" borderId="0" applyFont="0" applyFill="0" applyBorder="0" applyAlignment="0" applyProtection="0"/>
    <xf numFmtId="17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4" fontId="10" fillId="0" borderId="0" applyFill="0" applyBorder="0" applyAlignment="0"/>
    <xf numFmtId="0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9" fillId="0" borderId="0" applyFill="0" applyBorder="0" applyAlignment="0"/>
    <xf numFmtId="174" fontId="9" fillId="0" borderId="0" applyFill="0" applyBorder="0" applyAlignment="0"/>
    <xf numFmtId="173" fontId="9" fillId="0" borderId="0" applyFill="0" applyBorder="0" applyAlignment="0"/>
    <xf numFmtId="178" fontId="9" fillId="0" borderId="0" applyFill="0" applyBorder="0" applyAlignment="0"/>
    <xf numFmtId="174" fontId="9" fillId="0" borderId="0" applyFill="0" applyBorder="0" applyAlignment="0"/>
    <xf numFmtId="0" fontId="11" fillId="0" borderId="0" applyProtection="0"/>
    <xf numFmtId="0" fontId="3" fillId="0" borderId="0" applyProtection="0"/>
    <xf numFmtId="0" fontId="12" fillId="0" borderId="0" applyProtection="0"/>
    <xf numFmtId="0" fontId="13" fillId="0" borderId="0" applyProtection="0"/>
    <xf numFmtId="0" fontId="14" fillId="0" borderId="0" applyProtection="0"/>
    <xf numFmtId="0" fontId="15" fillId="0" borderId="0" applyProtection="0"/>
    <xf numFmtId="0" fontId="16" fillId="0" borderId="0" applyProtection="0"/>
    <xf numFmtId="2" fontId="9" fillId="0" borderId="0" applyFont="0" applyFill="0" applyBorder="0" applyAlignment="0" applyProtection="0"/>
    <xf numFmtId="38" fontId="3" fillId="2" borderId="0" applyNumberFormat="0" applyBorder="0" applyAlignment="0" applyProtection="0"/>
    <xf numFmtId="0" fontId="17" fillId="0" borderId="48" applyNumberFormat="0" applyAlignment="0" applyProtection="0">
      <alignment horizontal="left" vertical="center"/>
    </xf>
    <xf numFmtId="0" fontId="17" fillId="0" borderId="49">
      <alignment horizontal="left" vertical="center"/>
    </xf>
    <xf numFmtId="0" fontId="18" fillId="3" borderId="0" applyNumberFormat="0" applyFill="0" applyBorder="0" applyAlignment="0" applyProtection="0"/>
    <xf numFmtId="0" fontId="17" fillId="3" borderId="0" applyNumberFormat="0" applyFill="0" applyBorder="0" applyAlignment="0" applyProtection="0"/>
    <xf numFmtId="10" fontId="3" fillId="4" borderId="50" applyNumberFormat="0" applyBorder="0" applyAlignment="0" applyProtection="0"/>
    <xf numFmtId="173" fontId="9" fillId="0" borderId="0" applyFill="0" applyBorder="0" applyAlignment="0"/>
    <xf numFmtId="174" fontId="9" fillId="0" borderId="0" applyFill="0" applyBorder="0" applyAlignment="0"/>
    <xf numFmtId="173" fontId="9" fillId="0" borderId="0" applyFill="0" applyBorder="0" applyAlignment="0"/>
    <xf numFmtId="178" fontId="9" fillId="0" borderId="0" applyFill="0" applyBorder="0" applyAlignment="0"/>
    <xf numFmtId="174" fontId="9" fillId="0" borderId="0" applyFill="0" applyBorder="0" applyAlignment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80" fontId="9" fillId="0" borderId="0"/>
    <xf numFmtId="0" fontId="9" fillId="0" borderId="0"/>
    <xf numFmtId="0" fontId="9" fillId="0" borderId="0"/>
    <xf numFmtId="177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73" fontId="9" fillId="0" borderId="0" applyFill="0" applyBorder="0" applyAlignment="0"/>
    <xf numFmtId="174" fontId="9" fillId="0" borderId="0" applyFill="0" applyBorder="0" applyAlignment="0"/>
    <xf numFmtId="173" fontId="9" fillId="0" borderId="0" applyFill="0" applyBorder="0" applyAlignment="0"/>
    <xf numFmtId="178" fontId="9" fillId="0" borderId="0" applyFill="0" applyBorder="0" applyAlignment="0"/>
    <xf numFmtId="174" fontId="9" fillId="0" borderId="0" applyFill="0" applyBorder="0" applyAlignment="0"/>
    <xf numFmtId="0" fontId="9" fillId="5" borderId="0"/>
    <xf numFmtId="0" fontId="3" fillId="0" borderId="0" applyNumberFormat="0" applyFont="0" applyAlignment="0"/>
    <xf numFmtId="49" fontId="10" fillId="0" borderId="0" applyFill="0" applyBorder="0" applyAlignment="0"/>
    <xf numFmtId="182" fontId="9" fillId="0" borderId="0" applyFill="0" applyBorder="0" applyAlignment="0"/>
    <xf numFmtId="183" fontId="9" fillId="0" borderId="0" applyFill="0" applyBorder="0" applyAlignment="0"/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2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 vertical="top"/>
    </xf>
    <xf numFmtId="164" fontId="0" fillId="0" borderId="2" xfId="0" applyNumberFormat="1" applyBorder="1" applyAlignment="1">
      <alignment horizontal="right" vertical="top"/>
    </xf>
    <xf numFmtId="0" fontId="0" fillId="0" borderId="2" xfId="0" applyBorder="1"/>
    <xf numFmtId="0" fontId="0" fillId="0" borderId="3" xfId="0" applyBorder="1"/>
    <xf numFmtId="0" fontId="4" fillId="0" borderId="4" xfId="0" applyFont="1" applyBorder="1" applyAlignment="1">
      <alignment wrapText="1"/>
    </xf>
    <xf numFmtId="17" fontId="4" fillId="0" borderId="5" xfId="0" quotePrefix="1" applyNumberFormat="1" applyFont="1" applyBorder="1" applyAlignment="1">
      <alignment horizontal="center" wrapText="1"/>
    </xf>
    <xf numFmtId="165" fontId="4" fillId="0" borderId="5" xfId="0" applyNumberFormat="1" applyFont="1" applyBorder="1" applyAlignment="1">
      <alignment horizontal="center" wrapText="1"/>
    </xf>
    <xf numFmtId="165" fontId="4" fillId="0" borderId="6" xfId="0" applyNumberFormat="1" applyFont="1" applyBorder="1" applyAlignment="1">
      <alignment horizontal="center" wrapText="1"/>
    </xf>
    <xf numFmtId="165" fontId="4" fillId="0" borderId="7" xfId="0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17" fontId="4" fillId="0" borderId="14" xfId="0" quotePrefix="1" applyNumberFormat="1" applyFont="1" applyBorder="1" applyAlignment="1">
      <alignment horizontal="center" vertical="top" wrapText="1"/>
    </xf>
    <xf numFmtId="17" fontId="4" fillId="0" borderId="15" xfId="0" applyNumberFormat="1" applyFont="1" applyBorder="1" applyAlignment="1">
      <alignment horizontal="center" vertical="top" wrapText="1"/>
    </xf>
    <xf numFmtId="0" fontId="4" fillId="0" borderId="16" xfId="0" applyFont="1" applyBorder="1" applyAlignment="1" applyProtection="1">
      <alignment horizontal="center" vertical="top"/>
      <protection locked="0"/>
    </xf>
    <xf numFmtId="0" fontId="0" fillId="0" borderId="15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3" fillId="0" borderId="4" xfId="0" applyFont="1" applyBorder="1" applyAlignment="1">
      <alignment vertical="top"/>
    </xf>
    <xf numFmtId="166" fontId="3" fillId="0" borderId="0" xfId="0" applyNumberFormat="1" applyFont="1" applyAlignment="1">
      <alignment horizontal="right" vertical="top"/>
    </xf>
    <xf numFmtId="166" fontId="3" fillId="0" borderId="19" xfId="0" applyNumberFormat="1" applyFont="1" applyBorder="1" applyAlignment="1">
      <alignment horizontal="right" vertical="top"/>
    </xf>
    <xf numFmtId="166" fontId="3" fillId="0" borderId="20" xfId="0" applyNumberFormat="1" applyFont="1" applyBorder="1" applyAlignment="1">
      <alignment horizontal="right" vertical="top"/>
    </xf>
    <xf numFmtId="166" fontId="3" fillId="0" borderId="21" xfId="0" applyNumberFormat="1" applyFont="1" applyBorder="1" applyAlignment="1">
      <alignment horizontal="right" vertical="top"/>
    </xf>
    <xf numFmtId="166" fontId="3" fillId="0" borderId="22" xfId="0" applyNumberFormat="1" applyFont="1" applyBorder="1" applyAlignment="1">
      <alignment horizontal="right" vertical="top"/>
    </xf>
    <xf numFmtId="0" fontId="4" fillId="0" borderId="23" xfId="0" applyFont="1" applyBorder="1" applyAlignment="1">
      <alignment vertical="center"/>
    </xf>
    <xf numFmtId="166" fontId="4" fillId="0" borderId="24" xfId="0" applyNumberFormat="1" applyFont="1" applyBorder="1" applyAlignment="1">
      <alignment horizontal="right" vertical="top"/>
    </xf>
    <xf numFmtId="166" fontId="4" fillId="0" borderId="25" xfId="0" applyNumberFormat="1" applyFont="1" applyBorder="1" applyAlignment="1">
      <alignment horizontal="right" vertical="top"/>
    </xf>
    <xf numFmtId="166" fontId="4" fillId="0" borderId="26" xfId="0" applyNumberFormat="1" applyFont="1" applyBorder="1" applyAlignment="1">
      <alignment horizontal="right" vertical="top"/>
    </xf>
    <xf numFmtId="166" fontId="4" fillId="0" borderId="27" xfId="0" applyNumberFormat="1" applyFont="1" applyBorder="1" applyAlignment="1">
      <alignment horizontal="right" vertical="top"/>
    </xf>
    <xf numFmtId="166" fontId="4" fillId="0" borderId="28" xfId="0" applyNumberFormat="1" applyFont="1" applyBorder="1" applyAlignment="1">
      <alignment horizontal="right" vertical="top"/>
    </xf>
    <xf numFmtId="0" fontId="3" fillId="0" borderId="23" xfId="0" applyFont="1" applyBorder="1" applyAlignment="1">
      <alignment vertical="center"/>
    </xf>
    <xf numFmtId="166" fontId="3" fillId="0" borderId="24" xfId="0" applyNumberFormat="1" applyFont="1" applyBorder="1" applyAlignment="1">
      <alignment horizontal="right" vertical="top"/>
    </xf>
    <xf numFmtId="166" fontId="3" fillId="0" borderId="27" xfId="0" applyNumberFormat="1" applyFont="1" applyBorder="1" applyAlignment="1">
      <alignment horizontal="right" vertical="top"/>
    </xf>
    <xf numFmtId="166" fontId="3" fillId="0" borderId="25" xfId="0" applyNumberFormat="1" applyFont="1" applyBorder="1" applyAlignment="1">
      <alignment horizontal="right" vertical="top"/>
    </xf>
    <xf numFmtId="166" fontId="3" fillId="0" borderId="28" xfId="0" applyNumberFormat="1" applyFont="1" applyBorder="1" applyAlignment="1">
      <alignment horizontal="right" vertical="top"/>
    </xf>
    <xf numFmtId="166" fontId="3" fillId="0" borderId="26" xfId="0" applyNumberFormat="1" applyFont="1" applyBorder="1" applyAlignment="1">
      <alignment horizontal="right" vertical="top"/>
    </xf>
    <xf numFmtId="0" fontId="6" fillId="0" borderId="29" xfId="0" applyFont="1" applyBorder="1" applyAlignment="1">
      <alignment vertical="center"/>
    </xf>
    <xf numFmtId="166" fontId="3" fillId="0" borderId="10" xfId="0" applyNumberFormat="1" applyFont="1" applyBorder="1" applyAlignment="1">
      <alignment horizontal="right" vertical="top"/>
    </xf>
    <xf numFmtId="167" fontId="3" fillId="0" borderId="30" xfId="1" applyNumberFormat="1" applyFont="1" applyFill="1" applyBorder="1" applyAlignment="1" applyProtection="1">
      <alignment horizontal="right" vertical="top"/>
    </xf>
    <xf numFmtId="167" fontId="3" fillId="0" borderId="10" xfId="1" applyNumberFormat="1" applyFont="1" applyFill="1" applyBorder="1" applyAlignment="1" applyProtection="1">
      <alignment horizontal="right" vertical="top"/>
    </xf>
    <xf numFmtId="167" fontId="3" fillId="0" borderId="9" xfId="1" applyNumberFormat="1" applyFont="1" applyFill="1" applyBorder="1" applyAlignment="1" applyProtection="1">
      <alignment horizontal="right" vertical="top"/>
    </xf>
    <xf numFmtId="167" fontId="3" fillId="0" borderId="11" xfId="1" applyNumberFormat="1" applyFont="1" applyFill="1" applyBorder="1" applyAlignment="1" applyProtection="1">
      <alignment horizontal="right" vertical="top"/>
    </xf>
    <xf numFmtId="167" fontId="3" fillId="0" borderId="12" xfId="1" applyNumberFormat="1" applyFont="1" applyFill="1" applyBorder="1" applyAlignment="1" applyProtection="1">
      <alignment horizontal="right" vertical="top"/>
    </xf>
    <xf numFmtId="0" fontId="6" fillId="0" borderId="31" xfId="0" applyFont="1" applyBorder="1" applyAlignment="1">
      <alignment vertical="center"/>
    </xf>
    <xf numFmtId="166" fontId="6" fillId="0" borderId="32" xfId="0" applyNumberFormat="1" applyFont="1" applyBorder="1" applyAlignment="1">
      <alignment horizontal="right" vertical="center"/>
    </xf>
    <xf numFmtId="167" fontId="6" fillId="0" borderId="33" xfId="1" applyNumberFormat="1" applyFont="1" applyFill="1" applyBorder="1" applyAlignment="1" applyProtection="1">
      <alignment horizontal="right" vertical="center"/>
    </xf>
    <xf numFmtId="167" fontId="6" fillId="0" borderId="34" xfId="1" applyNumberFormat="1" applyFont="1" applyFill="1" applyBorder="1" applyAlignment="1" applyProtection="1">
      <alignment horizontal="right" vertical="center"/>
    </xf>
    <xf numFmtId="167" fontId="6" fillId="0" borderId="35" xfId="1" applyNumberFormat="1" applyFont="1" applyFill="1" applyBorder="1" applyAlignment="1" applyProtection="1">
      <alignment horizontal="right" vertical="center"/>
    </xf>
    <xf numFmtId="43" fontId="0" fillId="0" borderId="0" xfId="0" applyNumberFormat="1"/>
    <xf numFmtId="49" fontId="3" fillId="0" borderId="0" xfId="0" applyNumberFormat="1" applyFont="1" applyAlignment="1">
      <alignment vertical="center"/>
    </xf>
    <xf numFmtId="3" fontId="0" fillId="0" borderId="0" xfId="0" applyNumberFormat="1"/>
    <xf numFmtId="165" fontId="4" fillId="0" borderId="21" xfId="0" applyNumberFormat="1" applyFont="1" applyBorder="1" applyAlignment="1">
      <alignment horizontal="center" wrapText="1"/>
    </xf>
    <xf numFmtId="165" fontId="4" fillId="0" borderId="22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4" fontId="3" fillId="0" borderId="15" xfId="0" applyNumberFormat="1" applyFont="1" applyBorder="1" applyAlignment="1">
      <alignment horizontal="right" vertical="top"/>
    </xf>
    <xf numFmtId="168" fontId="3" fillId="0" borderId="15" xfId="0" applyNumberFormat="1" applyFont="1" applyBorder="1" applyAlignment="1">
      <alignment horizontal="right" vertical="top"/>
    </xf>
    <xf numFmtId="164" fontId="3" fillId="0" borderId="17" xfId="0" applyNumberFormat="1" applyFont="1" applyBorder="1" applyAlignment="1">
      <alignment horizontal="right" vertical="top"/>
    </xf>
    <xf numFmtId="164" fontId="3" fillId="0" borderId="16" xfId="0" applyNumberFormat="1" applyFont="1" applyBorder="1" applyAlignment="1">
      <alignment horizontal="right" vertical="top"/>
    </xf>
    <xf numFmtId="164" fontId="3" fillId="0" borderId="36" xfId="0" applyNumberFormat="1" applyFont="1" applyBorder="1" applyAlignment="1">
      <alignment horizontal="right" vertical="top"/>
    </xf>
    <xf numFmtId="164" fontId="3" fillId="0" borderId="19" xfId="0" applyNumberFormat="1" applyFont="1" applyBorder="1" applyAlignment="1">
      <alignment horizontal="right" vertical="top"/>
    </xf>
    <xf numFmtId="164" fontId="3" fillId="0" borderId="19" xfId="0" applyNumberFormat="1" applyFont="1" applyBorder="1" applyAlignment="1">
      <alignment vertical="top"/>
    </xf>
    <xf numFmtId="164" fontId="3" fillId="0" borderId="21" xfId="0" applyNumberFormat="1" applyFont="1" applyBorder="1" applyAlignment="1">
      <alignment horizontal="right" vertical="top"/>
    </xf>
    <xf numFmtId="164" fontId="3" fillId="0" borderId="20" xfId="0" applyNumberFormat="1" applyFont="1" applyBorder="1" applyAlignment="1">
      <alignment horizontal="right" vertical="top"/>
    </xf>
    <xf numFmtId="164" fontId="3" fillId="0" borderId="37" xfId="0" applyNumberFormat="1" applyFont="1" applyBorder="1" applyAlignment="1">
      <alignment horizontal="right" vertical="top"/>
    </xf>
    <xf numFmtId="0" fontId="3" fillId="0" borderId="38" xfId="0" applyFont="1" applyBorder="1" applyAlignment="1">
      <alignment vertical="top"/>
    </xf>
    <xf numFmtId="164" fontId="3" fillId="0" borderId="39" xfId="0" applyNumberFormat="1" applyFont="1" applyBorder="1" applyAlignment="1">
      <alignment horizontal="right" vertical="top"/>
    </xf>
    <xf numFmtId="164" fontId="3" fillId="0" borderId="39" xfId="0" applyNumberFormat="1" applyFont="1" applyBorder="1" applyAlignment="1">
      <alignment vertical="top"/>
    </xf>
    <xf numFmtId="164" fontId="3" fillId="0" borderId="40" xfId="0" applyNumberFormat="1" applyFont="1" applyBorder="1" applyAlignment="1">
      <alignment horizontal="right" vertical="top"/>
    </xf>
    <xf numFmtId="164" fontId="3" fillId="0" borderId="41" xfId="0" applyNumberFormat="1" applyFont="1" applyBorder="1" applyAlignment="1">
      <alignment horizontal="right" vertical="top"/>
    </xf>
    <xf numFmtId="164" fontId="3" fillId="0" borderId="42" xfId="0" applyNumberFormat="1" applyFont="1" applyBorder="1" applyAlignment="1">
      <alignment horizontal="right" vertical="top"/>
    </xf>
    <xf numFmtId="0" fontId="4" fillId="0" borderId="43" xfId="0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4" fillId="0" borderId="44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0" fontId="7" fillId="0" borderId="31" xfId="0" applyFont="1" applyBorder="1"/>
    <xf numFmtId="0" fontId="7" fillId="0" borderId="33" xfId="0" applyFont="1" applyBorder="1"/>
    <xf numFmtId="167" fontId="7" fillId="0" borderId="33" xfId="1" applyNumberFormat="1" applyFont="1" applyBorder="1"/>
    <xf numFmtId="167" fontId="7" fillId="0" borderId="34" xfId="1" applyNumberFormat="1" applyFont="1" applyBorder="1"/>
    <xf numFmtId="167" fontId="7" fillId="0" borderId="33" xfId="1" applyNumberFormat="1" applyFont="1" applyFill="1" applyBorder="1"/>
    <xf numFmtId="167" fontId="7" fillId="0" borderId="35" xfId="1" applyNumberFormat="1" applyFont="1" applyBorder="1"/>
    <xf numFmtId="0" fontId="4" fillId="0" borderId="13" xfId="0" applyFont="1" applyBorder="1" applyAlignment="1">
      <alignment vertical="center"/>
    </xf>
    <xf numFmtId="164" fontId="3" fillId="0" borderId="15" xfId="0" applyNumberFormat="1" applyFont="1" applyBorder="1" applyAlignment="1">
      <alignment horizontal="right" vertical="center"/>
    </xf>
    <xf numFmtId="164" fontId="4" fillId="0" borderId="15" xfId="0" applyNumberFormat="1" applyFont="1" applyBorder="1" applyAlignment="1">
      <alignment vertical="top"/>
    </xf>
    <xf numFmtId="164" fontId="3" fillId="0" borderId="17" xfId="0" applyNumberFormat="1" applyFont="1" applyBorder="1" applyAlignment="1">
      <alignment horizontal="right" vertical="center"/>
    </xf>
    <xf numFmtId="0" fontId="4" fillId="0" borderId="31" xfId="0" applyFont="1" applyBorder="1" applyAlignment="1">
      <alignment vertical="center"/>
    </xf>
    <xf numFmtId="164" fontId="4" fillId="0" borderId="33" xfId="0" applyNumberFormat="1" applyFont="1" applyBorder="1" applyAlignment="1">
      <alignment vertical="center"/>
    </xf>
    <xf numFmtId="164" fontId="4" fillId="0" borderId="45" xfId="0" applyNumberFormat="1" applyFont="1" applyBorder="1" applyAlignment="1">
      <alignment vertical="center"/>
    </xf>
    <xf numFmtId="164" fontId="3" fillId="0" borderId="46" xfId="0" applyNumberFormat="1" applyFont="1" applyBorder="1" applyAlignment="1">
      <alignment horizontal="right" vertical="center"/>
    </xf>
    <xf numFmtId="9" fontId="0" fillId="0" borderId="0" xfId="1" applyFont="1"/>
    <xf numFmtId="164" fontId="0" fillId="0" borderId="0" xfId="0" applyNumberFormat="1"/>
    <xf numFmtId="0" fontId="4" fillId="0" borderId="5" xfId="0" applyFont="1" applyBorder="1" applyAlignment="1">
      <alignment vertical="top"/>
    </xf>
    <xf numFmtId="0" fontId="4" fillId="0" borderId="30" xfId="0" applyFont="1" applyBorder="1" applyAlignment="1">
      <alignment vertical="top"/>
    </xf>
    <xf numFmtId="164" fontId="3" fillId="0" borderId="30" xfId="0" applyNumberFormat="1" applyFont="1" applyBorder="1" applyAlignment="1">
      <alignment horizontal="right" vertical="top"/>
    </xf>
    <xf numFmtId="0" fontId="0" fillId="0" borderId="6" xfId="0" applyBorder="1"/>
    <xf numFmtId="0" fontId="0" fillId="0" borderId="47" xfId="0" applyBorder="1"/>
    <xf numFmtId="0" fontId="0" fillId="0" borderId="44" xfId="0" applyBorder="1"/>
    <xf numFmtId="0" fontId="0" fillId="0" borderId="20" xfId="0" applyBorder="1"/>
    <xf numFmtId="0" fontId="17" fillId="0" borderId="13" xfId="0" applyFont="1" applyBorder="1" applyAlignment="1">
      <alignment vertical="center"/>
    </xf>
    <xf numFmtId="0" fontId="17" fillId="0" borderId="51" xfId="0" applyFont="1" applyBorder="1" applyAlignment="1">
      <alignment vertical="center"/>
    </xf>
    <xf numFmtId="164" fontId="3" fillId="0" borderId="0" xfId="0" applyNumberFormat="1" applyFont="1" applyAlignment="1">
      <alignment horizontal="right" vertical="top"/>
    </xf>
    <xf numFmtId="17" fontId="4" fillId="0" borderId="9" xfId="0" applyNumberFormat="1" applyFont="1" applyBorder="1" applyAlignment="1">
      <alignment horizontal="center" vertical="top" wrapText="1"/>
    </xf>
    <xf numFmtId="17" fontId="4" fillId="0" borderId="10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9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1" xfId="0" applyFont="1" applyBorder="1" applyAlignment="1" applyProtection="1">
      <alignment horizontal="center" vertical="top"/>
      <protection locked="0"/>
    </xf>
    <xf numFmtId="0" fontId="4" fillId="0" borderId="9" xfId="0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4" fillId="0" borderId="12" xfId="0" applyFont="1" applyBorder="1" applyAlignment="1" applyProtection="1">
      <alignment horizontal="center" vertical="top" wrapText="1"/>
      <protection locked="0"/>
    </xf>
    <xf numFmtId="165" fontId="4" fillId="0" borderId="9" xfId="0" applyNumberFormat="1" applyFont="1" applyBorder="1" applyAlignment="1">
      <alignment horizontal="center" wrapText="1"/>
    </xf>
    <xf numFmtId="165" fontId="4" fillId="0" borderId="11" xfId="0" applyNumberFormat="1" applyFont="1" applyBorder="1" applyAlignment="1">
      <alignment horizontal="center" wrapText="1"/>
    </xf>
  </cellXfs>
  <cellStyles count="67">
    <cellStyle name="Calc Currency (0)" xfId="3" xr:uid="{2017370E-462E-4FB6-92BD-B8DC8BC75711}"/>
    <cellStyle name="Calc Currency (2)" xfId="4" xr:uid="{60E2521D-23D4-4680-A974-61BE1AD9E71B}"/>
    <cellStyle name="Calc Percent (0)" xfId="5" xr:uid="{B782CCA7-E145-4A81-B9E3-F837C2959AD2}"/>
    <cellStyle name="Calc Percent (1)" xfId="6" xr:uid="{17E46BBE-040A-44C0-B006-F46B6D75AD54}"/>
    <cellStyle name="Calc Percent (2)" xfId="7" xr:uid="{0A4E2D50-A747-4875-8289-3937AF03C675}"/>
    <cellStyle name="Calc Units (0)" xfId="8" xr:uid="{5C020CFF-7961-4757-92F9-7FF59CEB535C}"/>
    <cellStyle name="Calc Units (1)" xfId="9" xr:uid="{CBAFEB1A-05A1-4721-AC06-69D6C11DE575}"/>
    <cellStyle name="Calc Units (2)" xfId="10" xr:uid="{A2422B81-FBD9-427E-AF47-D3A2BD94CCC2}"/>
    <cellStyle name="Comma [00]" xfId="12" xr:uid="{C2ABAC96-9067-4AD4-91E7-80781E034F49}"/>
    <cellStyle name="Comma 2" xfId="11" xr:uid="{14A67D88-A25E-4DFE-AF2B-FA095386C4E0}"/>
    <cellStyle name="Comma0" xfId="13" xr:uid="{C78165AE-797A-460B-A0B5-AE7A04DC0F73}"/>
    <cellStyle name="Couma_#B P&amp;L Evolution_BINV" xfId="14" xr:uid="{3523033B-A18F-4C0F-9124-7EC5A372F96D}"/>
    <cellStyle name="Currency [00]" xfId="15" xr:uid="{219F103D-43DD-4773-928E-D8D50E2CDA24}"/>
    <cellStyle name="Currency0" xfId="16" xr:uid="{54EED33B-4CE7-4CFE-A06F-C929189AEAED}"/>
    <cellStyle name="Date" xfId="17" xr:uid="{85DA88FE-C63F-4F15-A740-41CFC25828C2}"/>
    <cellStyle name="Date Short" xfId="18" xr:uid="{462C8444-7A3F-4528-A9CF-8441EBD36C16}"/>
    <cellStyle name="Date_1" xfId="19" xr:uid="{94612807-C3E0-4876-97CF-E8E4EE7BD931}"/>
    <cellStyle name="Dezimal [0]_Compiling Utility Macros" xfId="20" xr:uid="{BD60009D-DABF-404E-93BB-D0E0C10AAF33}"/>
    <cellStyle name="Dezimal_Compiling Utility Macros" xfId="21" xr:uid="{1C31D605-0567-46EF-B80F-314C37A954D6}"/>
    <cellStyle name="Enter Currency (0)" xfId="22" xr:uid="{1B23E286-4344-4447-8458-09A308CFBB4D}"/>
    <cellStyle name="Enter Currency (2)" xfId="23" xr:uid="{F1F2B364-D9D3-4C87-9195-2CA6FB1A1CB1}"/>
    <cellStyle name="Enter Units (0)" xfId="24" xr:uid="{BCFE67CF-75A0-44F0-B62D-057EA1138012}"/>
    <cellStyle name="Enter Units (1)" xfId="25" xr:uid="{7E32AA6C-9467-4D53-A164-04AB80E1CE3C}"/>
    <cellStyle name="Enter Units (2)" xfId="26" xr:uid="{488ED035-B653-47AE-AAF0-579C4694E247}"/>
    <cellStyle name="F2" xfId="27" xr:uid="{70BD1A06-29AE-4FA7-9EDA-B42BE85F3214}"/>
    <cellStyle name="F3" xfId="28" xr:uid="{8AA4950C-2621-4434-9F09-F5D076A930F4}"/>
    <cellStyle name="F4" xfId="29" xr:uid="{5CA91F64-C59F-4745-8328-DD4038B648C7}"/>
    <cellStyle name="F5" xfId="30" xr:uid="{216DF70D-FA61-4BCB-9E2F-7C76F44D1F08}"/>
    <cellStyle name="F6" xfId="31" xr:uid="{57242013-75F3-4596-B492-17C7E2CC7B97}"/>
    <cellStyle name="F7" xfId="32" xr:uid="{558D4D86-A5AE-4520-B5FF-D5AFD59F4919}"/>
    <cellStyle name="F8" xfId="33" xr:uid="{83B2C20D-3248-431C-9BAF-F7DD4E6CC705}"/>
    <cellStyle name="Fixed" xfId="34" xr:uid="{84D65C8E-2F3C-4A12-9CA9-DB78DD6047BC}"/>
    <cellStyle name="Grey" xfId="35" xr:uid="{51D25E18-13BF-4C8C-A2DE-36D7C6730040}"/>
    <cellStyle name="Header1" xfId="36" xr:uid="{2D9B3302-27FC-4597-A241-6E7F24DE1A48}"/>
    <cellStyle name="Header2" xfId="37" xr:uid="{B5AFBC09-AC08-455E-9762-684C7A63E971}"/>
    <cellStyle name="HEADING1" xfId="38" xr:uid="{7EB3A633-1FC9-4312-BD13-D8D83526BFB1}"/>
    <cellStyle name="HEADING2" xfId="39" xr:uid="{9DCFDF64-FF91-4BEC-835D-D42DB82654C9}"/>
    <cellStyle name="Input [yellow]" xfId="40" xr:uid="{68F0522E-835A-46F3-BFC6-72363201AD0B}"/>
    <cellStyle name="Link Currency (0)" xfId="41" xr:uid="{A4B5CF69-16DE-4D57-B557-EC60CA91E36B}"/>
    <cellStyle name="Link Currency (2)" xfId="42" xr:uid="{4EC4AAE0-08F9-4EA5-B187-14214CED4EB5}"/>
    <cellStyle name="Link Units (0)" xfId="43" xr:uid="{CC52A41F-1875-484E-BD6D-A5231FEEAF2B}"/>
    <cellStyle name="Link Units (1)" xfId="44" xr:uid="{323C82A7-CDC1-4241-B6DD-866D5022B07F}"/>
    <cellStyle name="Link Units (2)" xfId="45" xr:uid="{15AAAFA1-53F2-46A1-9EB1-6F45374909B5}"/>
    <cellStyle name="Monétaire [0]_rwhite" xfId="46" xr:uid="{12781B2F-2F4E-4790-9E07-D65702EC5D4C}"/>
    <cellStyle name="Monétaire_rwhite" xfId="47" xr:uid="{509A6764-7194-4103-8A23-91D7D81A9DE1}"/>
    <cellStyle name="Normal" xfId="0" builtinId="0"/>
    <cellStyle name="Normal - Style1" xfId="48" xr:uid="{1F2A47B9-5BA6-40B7-BF85-E0D466C32F72}"/>
    <cellStyle name="Normal 2" xfId="49" xr:uid="{7630E382-C35E-426B-A693-DB13246CC7C7}"/>
    <cellStyle name="Normal 2 2" xfId="50" xr:uid="{672E5A34-EDA9-4A70-8D1B-1CDEE7A8E027}"/>
    <cellStyle name="Normal 3" xfId="2" xr:uid="{519C1A72-96EB-452D-9B73-E34A1BDD919E}"/>
    <cellStyle name="Normal 42" xfId="66" xr:uid="{2E20522F-CFC1-4368-B164-DA7EA10ACEE9}"/>
    <cellStyle name="Percent" xfId="1" builtinId="5"/>
    <cellStyle name="Percent [0]" xfId="51" xr:uid="{2FD30002-31D1-47A4-9A1C-3946B47B6F1B}"/>
    <cellStyle name="Percent [00]" xfId="52" xr:uid="{9B5EB706-F0F2-41B7-BF32-D783FDD9A732}"/>
    <cellStyle name="Percent [2]" xfId="53" xr:uid="{D06093FC-6B3F-47EC-B40B-2306FEE757B8}"/>
    <cellStyle name="PrePop Currency (0)" xfId="54" xr:uid="{7EE7958C-B19C-4FBE-ADE5-5623A2B2A578}"/>
    <cellStyle name="PrePop Currency (2)" xfId="55" xr:uid="{63F40621-0ED5-425F-AA4B-7B2E0223F316}"/>
    <cellStyle name="PrePop Units (0)" xfId="56" xr:uid="{2F6657C1-0A0F-4EF5-80AB-63F5ED107449}"/>
    <cellStyle name="PrePop Units (1)" xfId="57" xr:uid="{726FE2F8-5637-484D-AB12-221149D31F06}"/>
    <cellStyle name="PrePop Units (2)" xfId="58" xr:uid="{A21953AC-8C38-4BE7-8B60-79FB799AD673}"/>
    <cellStyle name="Standard_Anpassen der Amortisation" xfId="59" xr:uid="{66E41FB5-1BD4-43FB-9E23-B680910E14B1}"/>
    <cellStyle name="Table Text" xfId="60" xr:uid="{F023E88F-AF34-4027-87AC-4BAAA415D4B7}"/>
    <cellStyle name="Text Indent A" xfId="61" xr:uid="{28A34383-1AE2-4793-A1FE-8B66527CE80F}"/>
    <cellStyle name="Text Indent B" xfId="62" xr:uid="{FF6837A5-DE2E-4E6E-9276-2A540D88942B}"/>
    <cellStyle name="Text Indent C" xfId="63" xr:uid="{A9425CCE-CC74-41C8-AA7A-AB562CAC721F}"/>
    <cellStyle name="Währung [0]_Compiling Utility Macros" xfId="64" xr:uid="{47505875-6E2B-4C03-91A7-D0CE576AF7B1}"/>
    <cellStyle name="Währung_Compiling Utility Macros" xfId="65" xr:uid="{DBFFF5FA-C75A-4BD1-98C6-5A825B5DBF40}"/>
  </cellStyles>
  <dxfs count="21"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CE6F1"/>
          <bgColor rgb="FFDCE6F1"/>
        </patternFill>
      </fill>
      <border>
        <vertical style="thin">
          <color rgb="FFFFFFFF"/>
        </vertical>
        <horizontal style="thin">
          <color rgb="FFFFFFFF"/>
        </horizontal>
      </border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CE6F1"/>
          <bgColor rgb="FFDCE6F1"/>
        </patternFill>
      </fill>
      <border>
        <vertical style="thin">
          <color rgb="FFFFFFFF"/>
        </vertical>
        <horizontal style="thin">
          <color rgb="FFFFFFFF"/>
        </horizontal>
      </border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CE6F1"/>
          <bgColor rgb="FFDCE6F1"/>
        </patternFill>
      </fill>
      <border>
        <vertical style="thin">
          <color rgb="FFFFFFFF"/>
        </vertical>
        <horizontal style="thin">
          <color rgb="FFFFFFFF"/>
        </horizontal>
      </border>
    </dxf>
  </dxfs>
  <tableStyles count="3" defaultTableStyle="TableStyleMedium2" defaultPivotStyle="PivotStyleLight16">
    <tableStyle name="TableStyleMedium9 2" pivot="0" count="7" xr9:uid="{8D3FE9F4-F2FA-40E6-B958-BC42535887FD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TableStyleMedium9 3" pivot="0" count="7" xr9:uid="{2ABFCC9C-0450-4818-8772-81FA913A748E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TableStyleMedium9 4" pivot="0" count="7" xr9:uid="{11030F29-18A0-4CC2-B1BB-2FF108D707DF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.%20Budget\2020\4.%20ENE\A.%20Database\Budget2020-Vote19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D%20-%20Health%20and%20Social%20Development\Social%20Development\8.%20Grants%20System%20&amp;%20Administration\Projections\NT%20Projections%20Model\2020-21\Mar\SASSA%202020-21%20Grant%20IYM%20Template%20PRELIM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D%20-%20Health%20and%20Social%20Development\Social%20Development\8.%20Grants%20System%20&amp;%20Administration\Projections\NT%20Projections%20Model\2020-21\Mar\Monthly%20Expenditute%20-%20COVID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D%20-%20Health%20and%20Social%20Development\Social%20Development\8.%20Grants%20System%20&amp;%20Administration\Projections\NT%20Projections%20Model\2021-22\Mar\SASSA%202021-22%20Grant%20IYM%20Template%20March%20Prelim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D%20-%20Health%20and%20Social%20Development\Social%20Development\8.%20Grants%20System%20&amp;%20Administration\Projections\NT%20Projections%20Model\2021-22\Mar\COVID-19%20SRD%20350%20March%202022%20Preliminar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lanning\ELECTRONIC%20FILING%20PLAN\8-2-1%20NATIONAL%20BUDGETS\8-2-1-1-2%20Drawings%20at%20beginning%20financial%20year\2022-2023\Inputs%20from%20departments\Vote%2019%20Customised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919/Desktop/Minister%20project/Grant%20overview/SRD%20Historical%20Dat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D%20-%20Health%20and%20Social%20Development\Social%20Development\3.%20Public%20Entities\SASSA\IYM\IYM%202011-12\IYM%20from%20SASSA\SASSA%20MARCH%20IYM%202011-12.sm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919/Desktop/DSD/Prog2-Social%20Grants/Special%20COVID-19%20SRD/2022-23/Covid%2019%20SRD%20applications%20and%20payments%20as%20at%20%2012%20May%202021%20Final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919/Desktop/DSD/Prog2-Social%20Grants/Grant%20model/2021-22/Mar/Covid%2019%20SRD%20applications%20and%20payments%20as%20at%20%2031%20May%20202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919/Desktop/DSD/Prog2-Social%20Grants/Grant%20model/2019-20/March/MARCH%20PRELIMINARY%20SASSA%202019-20%20IYM%20Templat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D%20-%20Health%20and%20Social%20Development\Social%20Development\3.%20Public%20Entities\SASSA\IYM\IYM%202012-13\IYM%20from%20SASSA\Grants\March\Final%20SASSA%20IYM%202012-13.sm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919/Desktop/DSD/Prog2-Social%20Grants/Grant%20model/2020-21/Mar/SASSA%202020-21%20Grant%20IYM%20Template%20PRELIM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919/Desktop/DSD/Prog2-Social%20Grants/Grant%20model/2021-22/Mar/COVID-19%20SRD%20350%20March%202022%20Prelimina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D%20-%20Health%20and%20Social%20Development\Social%20Development\3.%20Public%20Entities\SASSA\IYM\IYM%202013-14\IYM%20from%20SASSA\Social%20Assistance\March\Copy%20of%20SASSA%202013-14%20IYM%20MARCH-%20Final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D%20-%20Health%20and%20Social%20Development\Social%20Development\3.%20Public%20Entities\SASSA\IYM\IYM%202014-15\IYM%20from%20SASSA\Social%20Assistance\MARCH\SASSA%202014-15%20IYM%20MARCH%20201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D%20-%20Health%20and%20Social%20Development\Social%20Development\3.%20Public%20Entities\SASSA\IYM\IYM%202015-16\Social%20Assistance\12%20-%20MARCH\SASSA%202015-16%20IYM%20%20MARCH%202016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D%20-%20Health%20and%20Social%20Development\Social%20Development\3.%20Public%20Entities\SASSA\IYM\IYM%202016-17\Social%20Assistance\12%20-%20March\SASSA%202016-17%20IYM%20MAR%202017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D%20-%20Health%20and%20Social%20Development\Social%20Development\3.%20Public%20Entities\SASSA\IYM\IYM%202017-18\Social%20Assistance\March\SASSA%202017-18%20IYM%20March%2020181%20template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D%20-%20Health%20and%20Social%20Development\Social%20Development\3.%20Public%20Entities\SASSA\IYM\IYM%202018-19\Social%20Assistance\March\SASSA%202018-19%20IYM%20Template%20March%202019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D%20-%20Health%20and%20Social%20Development\Social%20Development\8.%20Grants%20System%20&amp;%20Administration\Projections\NT%20Projections%20Model\2019-20\March\MARCH%20PRELIMINARY%20SASSA%202019-20%20IYM%20Template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Help"/>
      <sheetName val="Settings"/>
      <sheetName val="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Direct_charges"/>
      <sheetName val="PM"/>
      <sheetName val="Expend Trends"/>
      <sheetName val="Significant Spending"/>
      <sheetName val="Prov_Cond_Grants"/>
      <sheetName val="Grants Admin"/>
      <sheetName val="Budget Tracking"/>
      <sheetName val="NMOG"/>
      <sheetName val="Function shifts"/>
      <sheetName val="Performance Indicators"/>
      <sheetName val="Reprioritisation"/>
      <sheetName val="Personnel"/>
      <sheetName val="Receipts"/>
      <sheetName val="Analysis"/>
      <sheetName val="InfraS Summary"/>
      <sheetName val="InfraS 1.1"/>
      <sheetName val="InfraS 1.2"/>
      <sheetName val="ODA Summary"/>
      <sheetName val="Deviations"/>
      <sheetName val="Dept specific info"/>
      <sheetName val="Dept specific info-Own Format"/>
      <sheetName val="Training"/>
      <sheetName val="PPP Projects"/>
      <sheetName val="Outputs"/>
      <sheetName val="Checks"/>
      <sheetName val="Metadata"/>
    </sheetNames>
    <sheetDataSet>
      <sheetData sheetId="0"/>
      <sheetData sheetId="1"/>
      <sheetData sheetId="2"/>
      <sheetData sheetId="3"/>
      <sheetData sheetId="4"/>
      <sheetData sheetId="5">
        <row r="47">
          <cell r="L47">
            <v>70542096</v>
          </cell>
        </row>
        <row r="48">
          <cell r="L48">
            <v>2380</v>
          </cell>
        </row>
        <row r="49">
          <cell r="L49">
            <v>21960632</v>
          </cell>
        </row>
        <row r="50">
          <cell r="L50">
            <v>5114211</v>
          </cell>
        </row>
        <row r="51">
          <cell r="L51">
            <v>3068028</v>
          </cell>
        </row>
        <row r="52">
          <cell r="L52">
            <v>60611568</v>
          </cell>
        </row>
        <row r="53">
          <cell r="L53">
            <v>994205</v>
          </cell>
        </row>
        <row r="54">
          <cell r="L54">
            <v>416720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  <sheetName val="FS"/>
      <sheetName val="GT"/>
      <sheetName val="KZN"/>
      <sheetName val="LIM"/>
      <sheetName val="MPU"/>
      <sheetName val="NC"/>
      <sheetName val="NW"/>
      <sheetName val="WC"/>
      <sheetName val="Summary"/>
    </sheetNames>
    <sheetDataSet>
      <sheetData sheetId="0">
        <row r="136">
          <cell r="N136">
            <v>31647027.90752</v>
          </cell>
        </row>
      </sheetData>
      <sheetData sheetId="1">
        <row r="136">
          <cell r="N136">
            <v>11692415.506779999</v>
          </cell>
        </row>
      </sheetData>
      <sheetData sheetId="2">
        <row r="136">
          <cell r="N136">
            <v>31497714.498669997</v>
          </cell>
        </row>
      </sheetData>
      <sheetData sheetId="3">
        <row r="136">
          <cell r="N136">
            <v>42673393.873330005</v>
          </cell>
        </row>
      </sheetData>
      <sheetData sheetId="4">
        <row r="136">
          <cell r="N136">
            <v>26773880.875600003</v>
          </cell>
        </row>
      </sheetData>
      <sheetData sheetId="5">
        <row r="136">
          <cell r="N136">
            <v>15886068.65866</v>
          </cell>
        </row>
      </sheetData>
      <sheetData sheetId="6">
        <row r="136">
          <cell r="N136">
            <v>5626601.3158999989</v>
          </cell>
        </row>
      </sheetData>
      <sheetData sheetId="7">
        <row r="136">
          <cell r="N136">
            <v>14086152.635330001</v>
          </cell>
        </row>
      </sheetData>
      <sheetData sheetId="8">
        <row r="136">
          <cell r="N136">
            <v>19530890.105909999</v>
          </cell>
        </row>
      </sheetData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ION"/>
      <sheetName val="EC"/>
      <sheetName val="FS"/>
      <sheetName val="GP"/>
      <sheetName val="KZN"/>
      <sheetName val="LP"/>
      <sheetName val="MP"/>
      <sheetName val="NC"/>
      <sheetName val="NW"/>
      <sheetName val="WC"/>
      <sheetName val="NATI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2">
          <cell r="B12">
            <v>2574433.9550000001</v>
          </cell>
          <cell r="C12">
            <v>1053675.953</v>
          </cell>
          <cell r="D12">
            <v>4168640.45</v>
          </cell>
          <cell r="E12">
            <v>4325909.3500000006</v>
          </cell>
          <cell r="F12">
            <v>2716304.75</v>
          </cell>
          <cell r="G12">
            <v>1640873.5</v>
          </cell>
          <cell r="H12">
            <v>388085.60000000003</v>
          </cell>
          <cell r="I12">
            <v>1354717.75</v>
          </cell>
          <cell r="J12">
            <v>1318368.24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  <sheetName val="FS"/>
      <sheetName val="GT"/>
      <sheetName val="KZN"/>
      <sheetName val="LIM"/>
      <sheetName val="MPU"/>
      <sheetName val="NC"/>
      <sheetName val="NW"/>
      <sheetName val="WC"/>
      <sheetName val="Summary"/>
    </sheetNames>
    <sheetDataSet>
      <sheetData sheetId="0">
        <row r="136">
          <cell r="N136">
            <v>30005190.242060006</v>
          </cell>
        </row>
      </sheetData>
      <sheetData sheetId="1">
        <row r="136">
          <cell r="N136">
            <v>11143253.575619999</v>
          </cell>
        </row>
      </sheetData>
      <sheetData sheetId="2">
        <row r="136">
          <cell r="N136">
            <v>30455847.778540004</v>
          </cell>
        </row>
      </sheetData>
      <sheetData sheetId="3">
        <row r="136">
          <cell r="N136">
            <v>40376594.371239997</v>
          </cell>
        </row>
      </sheetData>
      <sheetData sheetId="4">
        <row r="136">
          <cell r="N136">
            <v>25546448.60729</v>
          </cell>
        </row>
      </sheetData>
      <sheetData sheetId="5">
        <row r="136">
          <cell r="N136">
            <v>15049406.490050001</v>
          </cell>
        </row>
      </sheetData>
      <sheetData sheetId="6">
        <row r="136">
          <cell r="N136">
            <v>5477351.2347099995</v>
          </cell>
        </row>
      </sheetData>
      <sheetData sheetId="7">
        <row r="136">
          <cell r="N136">
            <v>13473945.330030002</v>
          </cell>
        </row>
      </sheetData>
      <sheetData sheetId="8">
        <row r="136">
          <cell r="N136">
            <v>18782007.846780002</v>
          </cell>
        </row>
      </sheetData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ION"/>
      <sheetName val="EC"/>
      <sheetName val="FS"/>
      <sheetName val="GP"/>
      <sheetName val="KZN"/>
      <sheetName val="LP"/>
      <sheetName val="MP"/>
      <sheetName val="NC"/>
      <sheetName val="NW"/>
      <sheetName val="WC"/>
      <sheetName val="NATIONAL"/>
      <sheetName val="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2">
          <cell r="B12">
            <v>4243956.5</v>
          </cell>
          <cell r="C12">
            <v>1800249.5</v>
          </cell>
          <cell r="D12">
            <v>6404776.3499999996</v>
          </cell>
          <cell r="E12">
            <v>7361472.0137</v>
          </cell>
          <cell r="F12">
            <v>4647914.5999999996</v>
          </cell>
          <cell r="G12">
            <v>2867426.1</v>
          </cell>
          <cell r="H12">
            <v>891274.65</v>
          </cell>
          <cell r="I12">
            <v>2323922.2999999998</v>
          </cell>
          <cell r="J12">
            <v>2057294.9500000002</v>
          </cell>
        </row>
      </sheetData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"/>
      <sheetName val="Drawings"/>
      <sheetName val="Receipts"/>
      <sheetName val="Metadata"/>
    </sheetNames>
    <sheetDataSet>
      <sheetData sheetId="0"/>
      <sheetData sheetId="1">
        <row r="286">
          <cell r="X286">
            <v>36812416</v>
          </cell>
        </row>
        <row r="287">
          <cell r="X287">
            <v>16726475</v>
          </cell>
        </row>
        <row r="288">
          <cell r="X288">
            <v>38140155</v>
          </cell>
        </row>
        <row r="289">
          <cell r="X289">
            <v>48065441</v>
          </cell>
        </row>
        <row r="290">
          <cell r="X290">
            <v>32292908</v>
          </cell>
        </row>
        <row r="291">
          <cell r="X291">
            <v>21003735</v>
          </cell>
        </row>
        <row r="292">
          <cell r="X292">
            <v>10727408</v>
          </cell>
        </row>
        <row r="293">
          <cell r="X293">
            <v>19318122</v>
          </cell>
        </row>
        <row r="294">
          <cell r="X294">
            <v>25207932</v>
          </cell>
        </row>
      </sheetData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D Statistics 201603 to 202203"/>
      <sheetName val="SRD "/>
    </sheetNames>
    <sheetDataSet>
      <sheetData sheetId="0">
        <row r="5">
          <cell r="C5">
            <v>5432</v>
          </cell>
          <cell r="D5">
            <v>9365</v>
          </cell>
          <cell r="E5">
            <v>8441</v>
          </cell>
          <cell r="F5">
            <v>8890</v>
          </cell>
          <cell r="G5">
            <v>10926</v>
          </cell>
          <cell r="H5">
            <v>17100</v>
          </cell>
          <cell r="I5">
            <v>14083</v>
          </cell>
          <cell r="J5">
            <v>9026</v>
          </cell>
          <cell r="K5">
            <v>6485</v>
          </cell>
          <cell r="L5">
            <v>3384</v>
          </cell>
          <cell r="M5">
            <v>4161</v>
          </cell>
          <cell r="N5">
            <v>9863</v>
          </cell>
          <cell r="O5">
            <v>636</v>
          </cell>
          <cell r="P5">
            <v>4000</v>
          </cell>
          <cell r="Q5">
            <v>7090</v>
          </cell>
          <cell r="R5">
            <v>10647</v>
          </cell>
          <cell r="S5">
            <v>14576</v>
          </cell>
          <cell r="T5">
            <v>14500</v>
          </cell>
          <cell r="U5">
            <v>12808</v>
          </cell>
          <cell r="V5">
            <v>10836</v>
          </cell>
          <cell r="W5">
            <v>3654</v>
          </cell>
          <cell r="X5">
            <v>2381</v>
          </cell>
          <cell r="Y5">
            <v>6945</v>
          </cell>
          <cell r="Z5">
            <v>4240</v>
          </cell>
          <cell r="AA5">
            <v>2383</v>
          </cell>
          <cell r="AB5">
            <v>5362</v>
          </cell>
          <cell r="AC5">
            <v>7128</v>
          </cell>
          <cell r="AD5">
            <v>9076</v>
          </cell>
          <cell r="AE5">
            <v>8686</v>
          </cell>
          <cell r="AF5">
            <v>8060</v>
          </cell>
          <cell r="AG5">
            <v>8352</v>
          </cell>
          <cell r="AH5">
            <v>9722</v>
          </cell>
          <cell r="AI5">
            <v>3552</v>
          </cell>
          <cell r="AJ5">
            <v>6332</v>
          </cell>
          <cell r="AK5">
            <v>10398</v>
          </cell>
          <cell r="AL5">
            <v>1697</v>
          </cell>
          <cell r="AM5">
            <v>7294</v>
          </cell>
          <cell r="AN5">
            <v>12938</v>
          </cell>
          <cell r="AO5">
            <v>10072</v>
          </cell>
          <cell r="AP5">
            <v>10355</v>
          </cell>
          <cell r="AQ5">
            <v>11860</v>
          </cell>
          <cell r="AR5">
            <v>7507</v>
          </cell>
          <cell r="AS5">
            <v>4771</v>
          </cell>
          <cell r="AT5">
            <v>2213</v>
          </cell>
          <cell r="AU5">
            <v>234</v>
          </cell>
          <cell r="AV5">
            <v>257</v>
          </cell>
          <cell r="AW5">
            <v>1145</v>
          </cell>
          <cell r="AX5">
            <v>2633</v>
          </cell>
          <cell r="AY5">
            <v>7862</v>
          </cell>
          <cell r="AZ5">
            <v>982</v>
          </cell>
          <cell r="BA5">
            <v>209</v>
          </cell>
          <cell r="BB5">
            <v>401</v>
          </cell>
          <cell r="BC5">
            <v>456</v>
          </cell>
          <cell r="BD5">
            <v>1218</v>
          </cell>
          <cell r="BE5">
            <v>909</v>
          </cell>
          <cell r="BF5">
            <v>5989</v>
          </cell>
          <cell r="BG5">
            <v>925</v>
          </cell>
          <cell r="BH5">
            <v>276</v>
          </cell>
          <cell r="BI5">
            <v>1449</v>
          </cell>
          <cell r="BJ5">
            <v>268</v>
          </cell>
          <cell r="BK5">
            <v>1602</v>
          </cell>
          <cell r="BL5">
            <v>2795</v>
          </cell>
          <cell r="BM5">
            <v>1067</v>
          </cell>
          <cell r="BN5">
            <v>646</v>
          </cell>
          <cell r="BO5">
            <v>593</v>
          </cell>
          <cell r="BP5">
            <v>445</v>
          </cell>
          <cell r="BQ5">
            <v>1322</v>
          </cell>
          <cell r="BR5">
            <v>2604</v>
          </cell>
          <cell r="BS5">
            <v>1549</v>
          </cell>
          <cell r="BT5">
            <v>1534</v>
          </cell>
          <cell r="BU5">
            <v>3366</v>
          </cell>
          <cell r="BV5">
            <v>854</v>
          </cell>
        </row>
        <row r="6">
          <cell r="C6">
            <v>1812</v>
          </cell>
          <cell r="D6">
            <v>2795</v>
          </cell>
          <cell r="E6">
            <v>2767</v>
          </cell>
          <cell r="F6">
            <v>2629</v>
          </cell>
          <cell r="G6">
            <v>2798</v>
          </cell>
          <cell r="H6">
            <v>5491</v>
          </cell>
          <cell r="I6">
            <v>1986</v>
          </cell>
          <cell r="J6">
            <v>3485</v>
          </cell>
          <cell r="K6">
            <v>3989</v>
          </cell>
          <cell r="L6">
            <v>2351</v>
          </cell>
          <cell r="M6">
            <v>1961</v>
          </cell>
          <cell r="N6">
            <v>9717</v>
          </cell>
          <cell r="O6">
            <v>417</v>
          </cell>
          <cell r="P6">
            <v>2795</v>
          </cell>
          <cell r="Q6">
            <v>5136</v>
          </cell>
          <cell r="R6">
            <v>5115</v>
          </cell>
          <cell r="S6">
            <v>5321</v>
          </cell>
          <cell r="T6">
            <v>5362</v>
          </cell>
          <cell r="U6">
            <v>3788</v>
          </cell>
          <cell r="V6">
            <v>5446</v>
          </cell>
          <cell r="W6">
            <v>1828</v>
          </cell>
          <cell r="X6">
            <v>986</v>
          </cell>
          <cell r="Y6">
            <v>2803</v>
          </cell>
          <cell r="Z6">
            <v>993</v>
          </cell>
          <cell r="AA6">
            <v>722</v>
          </cell>
          <cell r="AB6">
            <v>2684</v>
          </cell>
          <cell r="AC6">
            <v>2199</v>
          </cell>
          <cell r="AD6">
            <v>3018</v>
          </cell>
          <cell r="AE6">
            <v>2178</v>
          </cell>
          <cell r="AF6">
            <v>2723</v>
          </cell>
          <cell r="AG6">
            <v>3104</v>
          </cell>
          <cell r="AH6">
            <v>4090</v>
          </cell>
          <cell r="AI6">
            <v>1959</v>
          </cell>
          <cell r="AJ6">
            <v>3170</v>
          </cell>
          <cell r="AK6">
            <v>2263</v>
          </cell>
          <cell r="AL6">
            <v>1223</v>
          </cell>
          <cell r="AM6">
            <v>2495</v>
          </cell>
          <cell r="AN6">
            <v>2977</v>
          </cell>
          <cell r="AO6">
            <v>1709</v>
          </cell>
          <cell r="AP6">
            <v>1996</v>
          </cell>
          <cell r="AQ6">
            <v>2529</v>
          </cell>
          <cell r="AR6">
            <v>2454</v>
          </cell>
          <cell r="AS6">
            <v>1019</v>
          </cell>
          <cell r="AT6">
            <v>654</v>
          </cell>
          <cell r="AU6">
            <v>457</v>
          </cell>
          <cell r="AV6">
            <v>159</v>
          </cell>
          <cell r="AW6">
            <v>453</v>
          </cell>
          <cell r="AX6">
            <v>1403</v>
          </cell>
          <cell r="AY6">
            <v>2478</v>
          </cell>
          <cell r="AZ6">
            <v>3610</v>
          </cell>
          <cell r="BA6">
            <v>895</v>
          </cell>
          <cell r="BB6">
            <v>127</v>
          </cell>
          <cell r="BC6">
            <v>128</v>
          </cell>
          <cell r="BD6">
            <v>1043</v>
          </cell>
          <cell r="BE6">
            <v>1038</v>
          </cell>
          <cell r="BF6">
            <v>584</v>
          </cell>
          <cell r="BG6">
            <v>430</v>
          </cell>
          <cell r="BH6">
            <v>132</v>
          </cell>
          <cell r="BI6">
            <v>878</v>
          </cell>
          <cell r="BJ6">
            <v>396</v>
          </cell>
          <cell r="BK6">
            <v>33</v>
          </cell>
          <cell r="BL6">
            <v>273</v>
          </cell>
          <cell r="BM6">
            <v>578</v>
          </cell>
          <cell r="BN6">
            <v>210</v>
          </cell>
          <cell r="BO6">
            <v>769</v>
          </cell>
          <cell r="BP6">
            <v>434</v>
          </cell>
          <cell r="BQ6">
            <v>1175</v>
          </cell>
          <cell r="BR6">
            <v>2382</v>
          </cell>
          <cell r="BS6">
            <v>810</v>
          </cell>
          <cell r="BT6">
            <v>653</v>
          </cell>
          <cell r="BU6">
            <v>105</v>
          </cell>
          <cell r="BV6">
            <v>9</v>
          </cell>
        </row>
        <row r="7">
          <cell r="C7">
            <v>3142</v>
          </cell>
          <cell r="D7">
            <v>6286</v>
          </cell>
          <cell r="E7">
            <v>8445</v>
          </cell>
          <cell r="F7">
            <v>6523</v>
          </cell>
          <cell r="G7">
            <v>6580</v>
          </cell>
          <cell r="H7">
            <v>6930</v>
          </cell>
          <cell r="I7">
            <v>5792</v>
          </cell>
          <cell r="J7">
            <v>6249</v>
          </cell>
          <cell r="K7">
            <v>4412</v>
          </cell>
          <cell r="L7">
            <v>3928</v>
          </cell>
          <cell r="M7">
            <v>4735</v>
          </cell>
          <cell r="N7">
            <v>6644</v>
          </cell>
          <cell r="O7">
            <v>2756</v>
          </cell>
          <cell r="P7">
            <v>9399</v>
          </cell>
          <cell r="Q7">
            <v>11473</v>
          </cell>
          <cell r="R7">
            <v>11295</v>
          </cell>
          <cell r="S7">
            <v>11099</v>
          </cell>
          <cell r="T7">
            <v>11145</v>
          </cell>
          <cell r="U7">
            <v>8510</v>
          </cell>
          <cell r="V7">
            <v>8252</v>
          </cell>
          <cell r="W7">
            <v>4475</v>
          </cell>
          <cell r="X7">
            <v>4190</v>
          </cell>
          <cell r="Y7">
            <v>4069</v>
          </cell>
          <cell r="Z7">
            <v>3717</v>
          </cell>
          <cell r="AA7">
            <v>1971</v>
          </cell>
          <cell r="AB7">
            <v>5932</v>
          </cell>
          <cell r="AC7">
            <v>5194</v>
          </cell>
          <cell r="AD7">
            <v>5179</v>
          </cell>
          <cell r="AE7">
            <v>8617</v>
          </cell>
          <cell r="AF7">
            <v>8759</v>
          </cell>
          <cell r="AG7">
            <v>8741</v>
          </cell>
          <cell r="AH7">
            <v>8648</v>
          </cell>
          <cell r="AI7">
            <v>5054</v>
          </cell>
          <cell r="AJ7">
            <v>4428</v>
          </cell>
          <cell r="AK7">
            <v>6900</v>
          </cell>
          <cell r="AL7">
            <v>4995</v>
          </cell>
          <cell r="AM7">
            <v>4283</v>
          </cell>
          <cell r="AN7">
            <v>8511</v>
          </cell>
          <cell r="AO7">
            <v>8827</v>
          </cell>
          <cell r="AP7">
            <v>9188</v>
          </cell>
          <cell r="AQ7">
            <v>8798</v>
          </cell>
          <cell r="AR7">
            <v>7482</v>
          </cell>
          <cell r="AS7">
            <v>7504</v>
          </cell>
          <cell r="AT7">
            <v>2288</v>
          </cell>
          <cell r="AU7">
            <v>526</v>
          </cell>
          <cell r="AV7">
            <v>409</v>
          </cell>
          <cell r="AW7">
            <v>335</v>
          </cell>
          <cell r="AX7">
            <v>45</v>
          </cell>
          <cell r="AY7">
            <v>3805</v>
          </cell>
          <cell r="AZ7">
            <v>2296</v>
          </cell>
          <cell r="BA7">
            <v>3063</v>
          </cell>
          <cell r="BB7">
            <v>1758</v>
          </cell>
          <cell r="BC7">
            <v>891</v>
          </cell>
          <cell r="BD7">
            <v>623</v>
          </cell>
          <cell r="BE7">
            <v>39</v>
          </cell>
          <cell r="BF7">
            <v>22</v>
          </cell>
          <cell r="BG7">
            <v>22</v>
          </cell>
          <cell r="BH7">
            <v>118</v>
          </cell>
          <cell r="BI7">
            <v>354</v>
          </cell>
          <cell r="BJ7">
            <v>217</v>
          </cell>
          <cell r="BK7">
            <v>19</v>
          </cell>
          <cell r="BL7">
            <v>19</v>
          </cell>
          <cell r="BM7">
            <v>513</v>
          </cell>
          <cell r="BN7">
            <v>593</v>
          </cell>
          <cell r="BO7">
            <v>377</v>
          </cell>
          <cell r="BP7">
            <v>220</v>
          </cell>
          <cell r="BQ7">
            <v>43</v>
          </cell>
          <cell r="BR7">
            <v>801</v>
          </cell>
          <cell r="BS7">
            <v>1907</v>
          </cell>
          <cell r="BT7">
            <v>1702</v>
          </cell>
          <cell r="BU7">
            <v>1783</v>
          </cell>
          <cell r="BV7">
            <v>1540</v>
          </cell>
        </row>
        <row r="8">
          <cell r="C8">
            <v>6336</v>
          </cell>
          <cell r="D8">
            <v>4035</v>
          </cell>
          <cell r="E8">
            <v>4475</v>
          </cell>
          <cell r="F8">
            <v>4645</v>
          </cell>
          <cell r="G8">
            <v>7953</v>
          </cell>
          <cell r="H8">
            <v>6982</v>
          </cell>
          <cell r="I8">
            <v>11771</v>
          </cell>
          <cell r="J8">
            <v>11051</v>
          </cell>
          <cell r="K8">
            <v>10331</v>
          </cell>
          <cell r="L8">
            <v>7293</v>
          </cell>
          <cell r="M8">
            <v>11348</v>
          </cell>
          <cell r="N8">
            <v>13719</v>
          </cell>
          <cell r="O8">
            <v>1229</v>
          </cell>
          <cell r="P8">
            <v>6308</v>
          </cell>
          <cell r="Q8">
            <v>12784</v>
          </cell>
          <cell r="R8">
            <v>11511</v>
          </cell>
          <cell r="S8">
            <v>14486</v>
          </cell>
          <cell r="T8">
            <v>14481</v>
          </cell>
          <cell r="U8">
            <v>11841</v>
          </cell>
          <cell r="V8">
            <v>17668</v>
          </cell>
          <cell r="W8">
            <v>4717</v>
          </cell>
          <cell r="X8">
            <v>440</v>
          </cell>
          <cell r="Y8">
            <v>456</v>
          </cell>
          <cell r="Z8">
            <v>3461</v>
          </cell>
          <cell r="AA8">
            <v>3440</v>
          </cell>
          <cell r="AB8">
            <v>2651</v>
          </cell>
          <cell r="AC8">
            <v>4476</v>
          </cell>
          <cell r="AD8">
            <v>3052</v>
          </cell>
          <cell r="AE8">
            <v>5055</v>
          </cell>
          <cell r="AF8">
            <v>7115</v>
          </cell>
          <cell r="AG8">
            <v>10560</v>
          </cell>
          <cell r="AH8">
            <v>12691</v>
          </cell>
          <cell r="AI8">
            <v>8571</v>
          </cell>
          <cell r="AJ8">
            <v>1805</v>
          </cell>
          <cell r="AK8">
            <v>13978</v>
          </cell>
          <cell r="AL8">
            <v>5428</v>
          </cell>
          <cell r="AM8">
            <v>6761</v>
          </cell>
          <cell r="AN8">
            <v>12374</v>
          </cell>
          <cell r="AO8">
            <v>10244</v>
          </cell>
          <cell r="AP8">
            <v>10814</v>
          </cell>
          <cell r="AQ8">
            <v>9340</v>
          </cell>
          <cell r="AR8">
            <v>12690</v>
          </cell>
          <cell r="AS8">
            <v>6561</v>
          </cell>
          <cell r="AT8">
            <v>4772</v>
          </cell>
          <cell r="AU8">
            <v>2548</v>
          </cell>
          <cell r="AV8">
            <v>1483</v>
          </cell>
          <cell r="AW8">
            <v>858</v>
          </cell>
          <cell r="AX8">
            <v>2284</v>
          </cell>
          <cell r="AY8">
            <v>2098</v>
          </cell>
          <cell r="AZ8">
            <v>10899</v>
          </cell>
          <cell r="BA8">
            <v>8107</v>
          </cell>
          <cell r="BB8">
            <v>691</v>
          </cell>
          <cell r="BC8">
            <v>6</v>
          </cell>
          <cell r="BD8">
            <v>193</v>
          </cell>
          <cell r="BE8">
            <v>97</v>
          </cell>
          <cell r="BF8">
            <v>1537</v>
          </cell>
          <cell r="BG8">
            <v>1665</v>
          </cell>
          <cell r="BH8">
            <v>487</v>
          </cell>
          <cell r="BI8">
            <v>147</v>
          </cell>
          <cell r="BJ8">
            <v>21</v>
          </cell>
          <cell r="BK8">
            <v>398</v>
          </cell>
          <cell r="BL8">
            <v>6052</v>
          </cell>
          <cell r="BM8">
            <v>16922</v>
          </cell>
          <cell r="BN8">
            <v>7455</v>
          </cell>
          <cell r="BO8">
            <v>4937</v>
          </cell>
          <cell r="BP8">
            <v>1031</v>
          </cell>
          <cell r="BQ8">
            <v>1376</v>
          </cell>
          <cell r="BR8">
            <v>3354</v>
          </cell>
          <cell r="BS8">
            <v>2346</v>
          </cell>
          <cell r="BT8">
            <v>1564</v>
          </cell>
          <cell r="BU8">
            <v>4680</v>
          </cell>
          <cell r="BV8">
            <v>556</v>
          </cell>
        </row>
        <row r="9">
          <cell r="C9">
            <v>6860</v>
          </cell>
          <cell r="D9">
            <v>8208</v>
          </cell>
          <cell r="E9">
            <v>6884</v>
          </cell>
          <cell r="F9">
            <v>7685</v>
          </cell>
          <cell r="G9">
            <v>5921</v>
          </cell>
          <cell r="H9">
            <v>12420</v>
          </cell>
          <cell r="I9">
            <v>12037</v>
          </cell>
          <cell r="J9">
            <v>10699</v>
          </cell>
          <cell r="K9">
            <v>10671</v>
          </cell>
          <cell r="L9">
            <v>9421</v>
          </cell>
          <cell r="M9">
            <v>13890</v>
          </cell>
          <cell r="N9">
            <v>9386</v>
          </cell>
          <cell r="O9">
            <v>2240</v>
          </cell>
          <cell r="P9">
            <v>3219</v>
          </cell>
          <cell r="Q9">
            <v>8752</v>
          </cell>
          <cell r="R9">
            <v>9356</v>
          </cell>
          <cell r="S9">
            <v>13848</v>
          </cell>
          <cell r="T9">
            <v>13472</v>
          </cell>
          <cell r="U9">
            <v>14037</v>
          </cell>
          <cell r="V9">
            <v>13018</v>
          </cell>
          <cell r="W9">
            <v>5904</v>
          </cell>
          <cell r="X9">
            <v>4364</v>
          </cell>
          <cell r="Y9">
            <v>4506</v>
          </cell>
          <cell r="Z9">
            <v>3617</v>
          </cell>
          <cell r="AA9">
            <v>1584</v>
          </cell>
          <cell r="AB9">
            <v>6354</v>
          </cell>
          <cell r="AC9">
            <v>13926</v>
          </cell>
          <cell r="AD9">
            <v>14573</v>
          </cell>
          <cell r="AE9">
            <v>10980</v>
          </cell>
          <cell r="AF9">
            <v>8298</v>
          </cell>
          <cell r="AG9">
            <v>7970</v>
          </cell>
          <cell r="AH9">
            <v>5651</v>
          </cell>
          <cell r="AI9">
            <v>2813</v>
          </cell>
          <cell r="AJ9">
            <v>4533</v>
          </cell>
          <cell r="AK9">
            <v>4490</v>
          </cell>
          <cell r="AL9">
            <v>1383</v>
          </cell>
          <cell r="AM9">
            <v>1514</v>
          </cell>
          <cell r="AN9">
            <v>5277</v>
          </cell>
          <cell r="AO9">
            <v>5998</v>
          </cell>
          <cell r="AP9">
            <v>6217</v>
          </cell>
          <cell r="AQ9">
            <v>7010</v>
          </cell>
          <cell r="AR9">
            <v>5466</v>
          </cell>
          <cell r="AS9">
            <v>3376</v>
          </cell>
          <cell r="AT9">
            <v>2317</v>
          </cell>
          <cell r="AU9">
            <v>459</v>
          </cell>
          <cell r="AV9">
            <v>95</v>
          </cell>
          <cell r="AW9">
            <v>121</v>
          </cell>
          <cell r="AX9">
            <v>1738</v>
          </cell>
          <cell r="AY9">
            <v>4461</v>
          </cell>
          <cell r="AZ9">
            <v>668</v>
          </cell>
          <cell r="BA9">
            <v>928</v>
          </cell>
          <cell r="BB9">
            <v>19929</v>
          </cell>
          <cell r="BC9">
            <v>2209</v>
          </cell>
          <cell r="BD9">
            <v>576</v>
          </cell>
          <cell r="BE9">
            <v>689</v>
          </cell>
          <cell r="BF9">
            <v>105</v>
          </cell>
          <cell r="BG9">
            <v>657</v>
          </cell>
          <cell r="BH9">
            <v>71</v>
          </cell>
          <cell r="BI9">
            <v>745</v>
          </cell>
          <cell r="BJ9">
            <v>82</v>
          </cell>
          <cell r="BK9">
            <v>1</v>
          </cell>
          <cell r="BL9">
            <v>1521</v>
          </cell>
          <cell r="BM9">
            <v>5452</v>
          </cell>
          <cell r="BN9">
            <v>6518</v>
          </cell>
          <cell r="BO9">
            <v>4548</v>
          </cell>
          <cell r="BP9">
            <v>1384</v>
          </cell>
          <cell r="BQ9">
            <v>2003</v>
          </cell>
          <cell r="BR9">
            <v>8503</v>
          </cell>
          <cell r="BS9">
            <v>6369</v>
          </cell>
          <cell r="BT9">
            <v>5046</v>
          </cell>
          <cell r="BU9">
            <v>5788</v>
          </cell>
          <cell r="BV9">
            <v>6171</v>
          </cell>
        </row>
        <row r="10">
          <cell r="C10">
            <v>3422</v>
          </cell>
          <cell r="D10">
            <v>2225</v>
          </cell>
          <cell r="E10">
            <v>3029</v>
          </cell>
          <cell r="F10">
            <v>5218</v>
          </cell>
          <cell r="G10">
            <v>3889</v>
          </cell>
          <cell r="H10">
            <v>6225</v>
          </cell>
          <cell r="I10">
            <v>4632</v>
          </cell>
          <cell r="J10">
            <v>7486</v>
          </cell>
          <cell r="K10">
            <v>7585</v>
          </cell>
          <cell r="L10">
            <v>3372</v>
          </cell>
          <cell r="M10">
            <v>1515</v>
          </cell>
          <cell r="N10">
            <v>2163</v>
          </cell>
          <cell r="O10">
            <v>359</v>
          </cell>
          <cell r="P10">
            <v>1517</v>
          </cell>
          <cell r="Q10">
            <v>5980</v>
          </cell>
          <cell r="R10">
            <v>3157</v>
          </cell>
          <cell r="S10">
            <v>5806</v>
          </cell>
          <cell r="T10">
            <v>5428</v>
          </cell>
          <cell r="U10">
            <v>4538</v>
          </cell>
          <cell r="V10">
            <v>5609</v>
          </cell>
          <cell r="W10">
            <v>3382</v>
          </cell>
          <cell r="X10">
            <v>2408</v>
          </cell>
          <cell r="Y10">
            <v>5323</v>
          </cell>
          <cell r="Z10">
            <v>3050</v>
          </cell>
          <cell r="AA10">
            <v>1612</v>
          </cell>
          <cell r="AB10">
            <v>2164</v>
          </cell>
          <cell r="AC10">
            <v>2586</v>
          </cell>
          <cell r="AD10">
            <v>2154</v>
          </cell>
          <cell r="AE10">
            <v>3924</v>
          </cell>
          <cell r="AF10">
            <v>4346</v>
          </cell>
          <cell r="AG10">
            <v>2955</v>
          </cell>
          <cell r="AH10">
            <v>3785</v>
          </cell>
          <cell r="AI10">
            <v>2642</v>
          </cell>
          <cell r="AJ10">
            <v>1028</v>
          </cell>
          <cell r="AK10">
            <v>1674</v>
          </cell>
          <cell r="AL10">
            <v>3395</v>
          </cell>
          <cell r="AM10">
            <v>1340</v>
          </cell>
          <cell r="AN10">
            <v>2731</v>
          </cell>
          <cell r="AO10">
            <v>2095</v>
          </cell>
          <cell r="AP10">
            <v>2631</v>
          </cell>
          <cell r="AQ10">
            <v>2575</v>
          </cell>
          <cell r="AR10">
            <v>2142</v>
          </cell>
          <cell r="AS10">
            <v>2179</v>
          </cell>
          <cell r="AT10">
            <v>2576</v>
          </cell>
          <cell r="AU10">
            <v>882</v>
          </cell>
          <cell r="AV10">
            <v>345</v>
          </cell>
          <cell r="AW10">
            <v>1436</v>
          </cell>
          <cell r="AX10">
            <v>886</v>
          </cell>
          <cell r="AY10">
            <v>375</v>
          </cell>
          <cell r="AZ10">
            <v>1088</v>
          </cell>
          <cell r="BA10">
            <v>2287</v>
          </cell>
          <cell r="BB10">
            <v>1004</v>
          </cell>
          <cell r="BC10">
            <v>242</v>
          </cell>
          <cell r="BD10">
            <v>682</v>
          </cell>
          <cell r="BE10">
            <v>1177</v>
          </cell>
          <cell r="BF10">
            <v>944</v>
          </cell>
          <cell r="BG10">
            <v>622</v>
          </cell>
          <cell r="BH10">
            <v>1813</v>
          </cell>
          <cell r="BI10">
            <v>1410</v>
          </cell>
          <cell r="BJ10">
            <v>268</v>
          </cell>
          <cell r="BK10">
            <v>14</v>
          </cell>
          <cell r="BL10">
            <v>450</v>
          </cell>
          <cell r="BM10">
            <v>1671</v>
          </cell>
          <cell r="BN10">
            <v>854</v>
          </cell>
          <cell r="BO10">
            <v>686</v>
          </cell>
          <cell r="BP10">
            <v>472</v>
          </cell>
          <cell r="BQ10">
            <v>398</v>
          </cell>
          <cell r="BR10">
            <v>829</v>
          </cell>
          <cell r="BS10">
            <v>873</v>
          </cell>
          <cell r="BT10">
            <v>253</v>
          </cell>
          <cell r="BU10">
            <v>1084</v>
          </cell>
          <cell r="BV10">
            <v>239</v>
          </cell>
        </row>
        <row r="11">
          <cell r="C11">
            <v>2219</v>
          </cell>
          <cell r="D11">
            <v>2203</v>
          </cell>
          <cell r="E11">
            <v>1276</v>
          </cell>
          <cell r="F11">
            <v>906</v>
          </cell>
          <cell r="G11">
            <v>1461</v>
          </cell>
          <cell r="H11">
            <v>2417</v>
          </cell>
          <cell r="I11">
            <v>2528</v>
          </cell>
          <cell r="J11">
            <v>3581</v>
          </cell>
          <cell r="K11">
            <v>1531</v>
          </cell>
          <cell r="L11">
            <v>1457</v>
          </cell>
          <cell r="M11">
            <v>1552</v>
          </cell>
          <cell r="N11">
            <v>2994</v>
          </cell>
          <cell r="O11">
            <v>1859</v>
          </cell>
          <cell r="P11">
            <v>3615</v>
          </cell>
          <cell r="Q11">
            <v>3585</v>
          </cell>
          <cell r="R11">
            <v>3247</v>
          </cell>
          <cell r="S11">
            <v>4112</v>
          </cell>
          <cell r="T11">
            <v>2820</v>
          </cell>
          <cell r="U11">
            <v>2942</v>
          </cell>
          <cell r="V11">
            <v>3628</v>
          </cell>
          <cell r="W11">
            <v>2847</v>
          </cell>
          <cell r="X11">
            <v>2050</v>
          </cell>
          <cell r="Y11">
            <v>2968</v>
          </cell>
          <cell r="Z11">
            <v>2437</v>
          </cell>
          <cell r="AA11">
            <v>696</v>
          </cell>
          <cell r="AB11">
            <v>1731</v>
          </cell>
          <cell r="AC11">
            <v>1366</v>
          </cell>
          <cell r="AD11">
            <v>1068</v>
          </cell>
          <cell r="AE11">
            <v>1396</v>
          </cell>
          <cell r="AF11">
            <v>1895</v>
          </cell>
          <cell r="AG11">
            <v>1211</v>
          </cell>
          <cell r="AH11">
            <v>1699</v>
          </cell>
          <cell r="AI11">
            <v>819</v>
          </cell>
          <cell r="AJ11">
            <v>1357</v>
          </cell>
          <cell r="AK11">
            <v>2591</v>
          </cell>
          <cell r="AL11">
            <v>1719</v>
          </cell>
          <cell r="AM11">
            <v>431</v>
          </cell>
          <cell r="AN11">
            <v>2564</v>
          </cell>
          <cell r="AO11">
            <v>1125</v>
          </cell>
          <cell r="AP11">
            <v>591</v>
          </cell>
          <cell r="AQ11">
            <v>493</v>
          </cell>
          <cell r="AR11">
            <v>472</v>
          </cell>
          <cell r="AS11">
            <v>775</v>
          </cell>
          <cell r="AT11">
            <v>398</v>
          </cell>
          <cell r="AU11">
            <v>1</v>
          </cell>
          <cell r="AV11">
            <v>411</v>
          </cell>
          <cell r="AW11">
            <v>538</v>
          </cell>
          <cell r="AX11">
            <v>425</v>
          </cell>
          <cell r="AY11">
            <v>75</v>
          </cell>
          <cell r="AZ11"/>
          <cell r="BA11"/>
          <cell r="BB11"/>
          <cell r="BC11"/>
          <cell r="BD11">
            <v>363</v>
          </cell>
          <cell r="BE11">
            <v>221</v>
          </cell>
          <cell r="BF11">
            <v>51</v>
          </cell>
          <cell r="BG11"/>
          <cell r="BH11">
            <v>493</v>
          </cell>
          <cell r="BI11">
            <v>1191</v>
          </cell>
          <cell r="BJ11">
            <v>1411</v>
          </cell>
          <cell r="BK11">
            <v>19</v>
          </cell>
          <cell r="BL11">
            <v>358</v>
          </cell>
          <cell r="BM11">
            <v>598</v>
          </cell>
          <cell r="BN11">
            <v>371</v>
          </cell>
          <cell r="BO11">
            <v>380</v>
          </cell>
          <cell r="BP11">
            <v>599</v>
          </cell>
          <cell r="BQ11">
            <v>486</v>
          </cell>
          <cell r="BR11">
            <v>1528</v>
          </cell>
          <cell r="BS11">
            <v>1147</v>
          </cell>
          <cell r="BT11">
            <v>1027</v>
          </cell>
          <cell r="BU11">
            <v>1355</v>
          </cell>
          <cell r="BV11">
            <v>1221</v>
          </cell>
        </row>
        <row r="12">
          <cell r="C12">
            <v>4059</v>
          </cell>
          <cell r="D12">
            <v>5008</v>
          </cell>
          <cell r="E12">
            <v>3116</v>
          </cell>
          <cell r="F12">
            <v>3625</v>
          </cell>
          <cell r="G12">
            <v>3985</v>
          </cell>
          <cell r="H12">
            <v>3487</v>
          </cell>
          <cell r="I12">
            <v>2496</v>
          </cell>
          <cell r="J12">
            <v>3897</v>
          </cell>
          <cell r="K12">
            <v>3228</v>
          </cell>
          <cell r="L12">
            <v>1197</v>
          </cell>
          <cell r="M12">
            <v>433</v>
          </cell>
          <cell r="N12">
            <v>554</v>
          </cell>
          <cell r="O12">
            <v>103</v>
          </cell>
          <cell r="P12">
            <v>1012</v>
          </cell>
          <cell r="Q12">
            <v>1607</v>
          </cell>
          <cell r="R12">
            <v>2188</v>
          </cell>
          <cell r="S12">
            <v>3625</v>
          </cell>
          <cell r="T12">
            <v>3582</v>
          </cell>
          <cell r="U12">
            <v>3564</v>
          </cell>
          <cell r="V12">
            <v>3102</v>
          </cell>
          <cell r="W12">
            <v>2728</v>
          </cell>
          <cell r="X12">
            <v>3325</v>
          </cell>
          <cell r="Y12">
            <v>5828</v>
          </cell>
          <cell r="Z12">
            <v>3442</v>
          </cell>
          <cell r="AA12">
            <v>1398</v>
          </cell>
          <cell r="AB12">
            <v>2497</v>
          </cell>
          <cell r="AC12">
            <v>2820</v>
          </cell>
          <cell r="AD12">
            <v>2339</v>
          </cell>
          <cell r="AE12">
            <v>2259</v>
          </cell>
          <cell r="AF12">
            <v>1759</v>
          </cell>
          <cell r="AG12">
            <v>2724</v>
          </cell>
          <cell r="AH12">
            <v>2811</v>
          </cell>
          <cell r="AI12">
            <v>1346</v>
          </cell>
          <cell r="AJ12">
            <v>1235</v>
          </cell>
          <cell r="AK12">
            <v>1759</v>
          </cell>
          <cell r="AL12">
            <v>966</v>
          </cell>
          <cell r="AM12">
            <v>1798</v>
          </cell>
          <cell r="AN12">
            <v>3346</v>
          </cell>
          <cell r="AO12">
            <v>2532</v>
          </cell>
          <cell r="AP12">
            <v>2523</v>
          </cell>
          <cell r="AQ12">
            <v>2287</v>
          </cell>
          <cell r="AR12">
            <v>1595</v>
          </cell>
          <cell r="AS12">
            <v>607</v>
          </cell>
          <cell r="AT12">
            <v>338</v>
          </cell>
          <cell r="AU12">
            <v>717</v>
          </cell>
          <cell r="AV12">
            <v>692</v>
          </cell>
          <cell r="AW12">
            <v>747</v>
          </cell>
          <cell r="AX12">
            <v>1060</v>
          </cell>
          <cell r="AY12">
            <v>4750</v>
          </cell>
          <cell r="AZ12">
            <v>2015</v>
          </cell>
          <cell r="BA12">
            <v>72</v>
          </cell>
          <cell r="BB12">
            <v>66</v>
          </cell>
          <cell r="BC12">
            <v>54</v>
          </cell>
          <cell r="BD12">
            <v>55</v>
          </cell>
          <cell r="BE12">
            <v>58</v>
          </cell>
          <cell r="BF12">
            <v>298</v>
          </cell>
          <cell r="BG12">
            <v>103</v>
          </cell>
          <cell r="BH12">
            <v>235</v>
          </cell>
          <cell r="BI12">
            <v>111</v>
          </cell>
          <cell r="BJ12">
            <v>182</v>
          </cell>
          <cell r="BK12">
            <v>76</v>
          </cell>
          <cell r="BL12">
            <v>1345</v>
          </cell>
          <cell r="BM12">
            <v>1707</v>
          </cell>
          <cell r="BN12">
            <v>948</v>
          </cell>
          <cell r="BO12">
            <v>693</v>
          </cell>
          <cell r="BP12">
            <v>704</v>
          </cell>
          <cell r="BQ12">
            <v>964</v>
          </cell>
          <cell r="BR12">
            <v>1714</v>
          </cell>
          <cell r="BS12">
            <v>610</v>
          </cell>
          <cell r="BT12">
            <v>408</v>
          </cell>
          <cell r="BU12">
            <v>448</v>
          </cell>
          <cell r="BV12">
            <v>206</v>
          </cell>
        </row>
        <row r="13">
          <cell r="C13">
            <v>5581</v>
          </cell>
          <cell r="D13">
            <v>4552</v>
          </cell>
          <cell r="E13">
            <v>8592</v>
          </cell>
          <cell r="F13">
            <v>1641</v>
          </cell>
          <cell r="G13">
            <v>2830</v>
          </cell>
          <cell r="H13">
            <v>2566</v>
          </cell>
          <cell r="I13">
            <v>8225</v>
          </cell>
          <cell r="J13">
            <v>1820</v>
          </cell>
          <cell r="K13">
            <v>621</v>
          </cell>
          <cell r="L13">
            <v>537</v>
          </cell>
          <cell r="M13">
            <v>265</v>
          </cell>
          <cell r="N13">
            <v>555</v>
          </cell>
          <cell r="O13">
            <v>149</v>
          </cell>
          <cell r="P13">
            <v>214</v>
          </cell>
          <cell r="Q13">
            <v>226</v>
          </cell>
          <cell r="R13">
            <v>677</v>
          </cell>
          <cell r="S13">
            <v>2375</v>
          </cell>
          <cell r="T13">
            <v>5520</v>
          </cell>
          <cell r="U13">
            <v>8222</v>
          </cell>
          <cell r="V13">
            <v>5999</v>
          </cell>
          <cell r="W13">
            <v>4811</v>
          </cell>
          <cell r="X13">
            <v>2309</v>
          </cell>
          <cell r="Y13">
            <v>3608</v>
          </cell>
          <cell r="Z13">
            <v>3125</v>
          </cell>
          <cell r="AA13">
            <v>770</v>
          </cell>
          <cell r="AB13">
            <v>1901</v>
          </cell>
          <cell r="AC13">
            <v>924</v>
          </cell>
          <cell r="AD13">
            <v>1021</v>
          </cell>
          <cell r="AE13">
            <v>1064</v>
          </cell>
          <cell r="AF13">
            <v>1101</v>
          </cell>
          <cell r="AG13">
            <v>3316</v>
          </cell>
          <cell r="AH13">
            <v>4255</v>
          </cell>
          <cell r="AI13">
            <v>2428</v>
          </cell>
          <cell r="AJ13">
            <v>2569</v>
          </cell>
          <cell r="AK13">
            <v>2330</v>
          </cell>
          <cell r="AL13">
            <v>2406</v>
          </cell>
          <cell r="AM13">
            <v>1725</v>
          </cell>
          <cell r="AN13">
            <v>3898</v>
          </cell>
          <cell r="AO13">
            <v>4520</v>
          </cell>
          <cell r="AP13">
            <v>5323</v>
          </cell>
          <cell r="AQ13">
            <v>5619</v>
          </cell>
          <cell r="AR13">
            <v>2863</v>
          </cell>
          <cell r="AS13">
            <v>1543</v>
          </cell>
          <cell r="AT13">
            <v>651</v>
          </cell>
          <cell r="AU13">
            <v>242</v>
          </cell>
          <cell r="AV13">
            <v>872</v>
          </cell>
          <cell r="AW13">
            <v>557</v>
          </cell>
          <cell r="AX13">
            <v>288</v>
          </cell>
          <cell r="AY13">
            <v>715</v>
          </cell>
          <cell r="AZ13">
            <v>2801</v>
          </cell>
          <cell r="BA13">
            <v>2272</v>
          </cell>
          <cell r="BB13">
            <v>2246</v>
          </cell>
          <cell r="BC13">
            <v>764</v>
          </cell>
          <cell r="BD13">
            <v>1623</v>
          </cell>
          <cell r="BE13">
            <v>148</v>
          </cell>
          <cell r="BF13">
            <v>233</v>
          </cell>
          <cell r="BG13">
            <v>79</v>
          </cell>
          <cell r="BH13">
            <v>485</v>
          </cell>
          <cell r="BI13">
            <v>2059</v>
          </cell>
          <cell r="BJ13">
            <v>717</v>
          </cell>
          <cell r="BK13">
            <v>5</v>
          </cell>
          <cell r="BL13">
            <v>3</v>
          </cell>
          <cell r="BM13"/>
          <cell r="BN13">
            <v>106</v>
          </cell>
          <cell r="BO13">
            <v>177</v>
          </cell>
          <cell r="BP13">
            <v>722</v>
          </cell>
          <cell r="BQ13">
            <v>209</v>
          </cell>
          <cell r="BR13">
            <v>56</v>
          </cell>
          <cell r="BS13">
            <v>122</v>
          </cell>
          <cell r="BT13">
            <v>87</v>
          </cell>
          <cell r="BU13">
            <v>192</v>
          </cell>
          <cell r="BV13">
            <v>79</v>
          </cell>
        </row>
        <row r="17">
          <cell r="C17">
            <v>580380</v>
          </cell>
          <cell r="D17">
            <v>572406</v>
          </cell>
          <cell r="E17">
            <v>443687</v>
          </cell>
          <cell r="F17">
            <v>344482</v>
          </cell>
          <cell r="G17">
            <v>140817</v>
          </cell>
          <cell r="H17">
            <v>167793</v>
          </cell>
        </row>
      </sheetData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istration"/>
      <sheetName val="EC_SocAss"/>
      <sheetName val="FS_SocAss"/>
      <sheetName val="GT_SocAss"/>
      <sheetName val="KZN_SocAss"/>
      <sheetName val="LIM_SocAss"/>
      <sheetName val="MPU_SocAss"/>
      <sheetName val="NC_SocAss"/>
      <sheetName val="NW_SocAss"/>
      <sheetName val="WC_SocAss"/>
      <sheetName val="Summary"/>
    </sheetNames>
    <sheetDataSet>
      <sheetData sheetId="0"/>
      <sheetData sheetId="1">
        <row r="185">
          <cell r="M185">
            <v>492248</v>
          </cell>
        </row>
        <row r="186">
          <cell r="M186">
            <v>101</v>
          </cell>
        </row>
        <row r="187">
          <cell r="M187">
            <v>7631</v>
          </cell>
        </row>
        <row r="188">
          <cell r="M188">
            <v>182989</v>
          </cell>
        </row>
        <row r="189">
          <cell r="M189">
            <v>116826</v>
          </cell>
        </row>
        <row r="190">
          <cell r="M190">
            <v>18235</v>
          </cell>
        </row>
        <row r="192">
          <cell r="M192">
            <v>1837801</v>
          </cell>
        </row>
      </sheetData>
      <sheetData sheetId="2">
        <row r="185">
          <cell r="M185">
            <v>165328</v>
          </cell>
        </row>
        <row r="186">
          <cell r="M186">
            <v>14</v>
          </cell>
        </row>
        <row r="187">
          <cell r="M187">
            <v>23061</v>
          </cell>
        </row>
        <row r="188">
          <cell r="M188">
            <v>72699</v>
          </cell>
        </row>
        <row r="189">
          <cell r="M189">
            <v>43311</v>
          </cell>
        </row>
        <row r="190">
          <cell r="M190">
            <v>5419</v>
          </cell>
        </row>
        <row r="192">
          <cell r="M192">
            <v>617311</v>
          </cell>
        </row>
      </sheetData>
      <sheetData sheetId="3">
        <row r="185">
          <cell r="M185">
            <v>368316</v>
          </cell>
        </row>
        <row r="186">
          <cell r="M186">
            <v>171</v>
          </cell>
        </row>
        <row r="187">
          <cell r="M187">
            <v>24800</v>
          </cell>
        </row>
        <row r="188">
          <cell r="M188">
            <v>96038</v>
          </cell>
        </row>
        <row r="189">
          <cell r="M189">
            <v>56451</v>
          </cell>
        </row>
        <row r="190">
          <cell r="M190">
            <v>14170</v>
          </cell>
        </row>
        <row r="192">
          <cell r="M192">
            <v>1387159</v>
          </cell>
        </row>
      </sheetData>
      <sheetData sheetId="4">
        <row r="185">
          <cell r="M185">
            <v>573040</v>
          </cell>
        </row>
        <row r="186">
          <cell r="M186">
            <v>109</v>
          </cell>
        </row>
        <row r="187">
          <cell r="M187">
            <v>80721</v>
          </cell>
        </row>
        <row r="188">
          <cell r="M188">
            <v>244738</v>
          </cell>
        </row>
        <row r="189">
          <cell r="M189">
            <v>142114</v>
          </cell>
        </row>
        <row r="190">
          <cell r="M190">
            <v>34969</v>
          </cell>
        </row>
        <row r="192">
          <cell r="M192">
            <v>2726635</v>
          </cell>
        </row>
      </sheetData>
      <sheetData sheetId="5">
        <row r="185">
          <cell r="M185">
            <v>379783</v>
          </cell>
        </row>
        <row r="186">
          <cell r="M186">
            <v>59</v>
          </cell>
        </row>
        <row r="187">
          <cell r="M187">
            <v>16157</v>
          </cell>
        </row>
        <row r="188">
          <cell r="M188">
            <v>71883</v>
          </cell>
        </row>
        <row r="189">
          <cell r="M189">
            <v>56066</v>
          </cell>
        </row>
        <row r="190">
          <cell r="M190">
            <v>11318</v>
          </cell>
        </row>
        <row r="192">
          <cell r="M192">
            <v>1497044</v>
          </cell>
        </row>
      </sheetData>
      <sheetData sheetId="6">
        <row r="185">
          <cell r="M185">
            <v>219920</v>
          </cell>
        </row>
        <row r="186">
          <cell r="M186">
            <v>34</v>
          </cell>
        </row>
        <row r="187">
          <cell r="M187">
            <v>16320</v>
          </cell>
        </row>
        <row r="188">
          <cell r="M188">
            <v>65764</v>
          </cell>
        </row>
        <row r="189">
          <cell r="M189">
            <v>32886</v>
          </cell>
        </row>
        <row r="190">
          <cell r="M190">
            <v>7950</v>
          </cell>
        </row>
        <row r="192">
          <cell r="M192">
            <v>1008223</v>
          </cell>
        </row>
      </sheetData>
      <sheetData sheetId="7">
        <row r="185">
          <cell r="M185">
            <v>71721</v>
          </cell>
        </row>
        <row r="186">
          <cell r="M186">
            <v>26</v>
          </cell>
        </row>
        <row r="187">
          <cell r="M187">
            <v>11572</v>
          </cell>
        </row>
        <row r="188">
          <cell r="M188">
            <v>36348</v>
          </cell>
        </row>
        <row r="189">
          <cell r="M189">
            <v>14456</v>
          </cell>
        </row>
        <row r="190">
          <cell r="M190">
            <v>4236</v>
          </cell>
        </row>
        <row r="192">
          <cell r="M192">
            <v>262488</v>
          </cell>
        </row>
      </sheetData>
      <sheetData sheetId="8">
        <row r="185">
          <cell r="M185">
            <v>234505</v>
          </cell>
        </row>
        <row r="186">
          <cell r="M186">
            <v>26</v>
          </cell>
        </row>
        <row r="187">
          <cell r="M187">
            <v>16456</v>
          </cell>
        </row>
        <row r="188">
          <cell r="M188">
            <v>73328</v>
          </cell>
        </row>
        <row r="189">
          <cell r="M189">
            <v>45634</v>
          </cell>
        </row>
        <row r="190">
          <cell r="M190">
            <v>8736</v>
          </cell>
        </row>
        <row r="192">
          <cell r="M192">
            <v>793189</v>
          </cell>
        </row>
      </sheetData>
      <sheetData sheetId="9">
        <row r="185">
          <cell r="M185">
            <v>245996</v>
          </cell>
        </row>
        <row r="186">
          <cell r="M186">
            <v>213</v>
          </cell>
        </row>
        <row r="187">
          <cell r="M187">
            <v>45811</v>
          </cell>
        </row>
        <row r="188">
          <cell r="M188">
            <v>111815</v>
          </cell>
        </row>
        <row r="189">
          <cell r="M189">
            <v>29003</v>
          </cell>
        </row>
        <row r="190">
          <cell r="M190">
            <v>9960</v>
          </cell>
        </row>
        <row r="192">
          <cell r="M192">
            <v>797881</v>
          </cell>
        </row>
      </sheetData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applications"/>
      <sheetName val="Applications by age gender"/>
      <sheetName val="Total approved"/>
      <sheetName val="Total paid"/>
      <sheetName val="Total paid by channel"/>
      <sheetName val="Declined"/>
      <sheetName val="Sheet1"/>
    </sheetNames>
    <sheetDataSet>
      <sheetData sheetId="0"/>
      <sheetData sheetId="1"/>
      <sheetData sheetId="2">
        <row r="3">
          <cell r="B3">
            <v>606726</v>
          </cell>
          <cell r="C3">
            <v>677354</v>
          </cell>
          <cell r="D3">
            <v>739755</v>
          </cell>
          <cell r="E3">
            <v>787727</v>
          </cell>
          <cell r="F3">
            <v>798129</v>
          </cell>
          <cell r="G3">
            <v>809739</v>
          </cell>
          <cell r="H3">
            <v>806732</v>
          </cell>
          <cell r="I3">
            <v>779299</v>
          </cell>
          <cell r="J3">
            <v>778328</v>
          </cell>
          <cell r="K3">
            <v>776447</v>
          </cell>
          <cell r="L3">
            <v>757542</v>
          </cell>
        </row>
        <row r="4">
          <cell r="B4">
            <v>236523</v>
          </cell>
          <cell r="C4">
            <v>267622</v>
          </cell>
          <cell r="D4">
            <v>296635</v>
          </cell>
          <cell r="E4">
            <v>320752</v>
          </cell>
          <cell r="F4">
            <v>325522</v>
          </cell>
          <cell r="G4">
            <v>331751</v>
          </cell>
          <cell r="H4">
            <v>331239</v>
          </cell>
          <cell r="I4">
            <v>320709</v>
          </cell>
          <cell r="J4">
            <v>320848</v>
          </cell>
          <cell r="K4">
            <v>320053</v>
          </cell>
          <cell r="L4">
            <v>311807</v>
          </cell>
          <cell r="M4">
            <v>319621</v>
          </cell>
        </row>
        <row r="5">
          <cell r="B5">
            <v>961270</v>
          </cell>
          <cell r="C5">
            <v>1091847</v>
          </cell>
          <cell r="D5">
            <v>1185437</v>
          </cell>
          <cell r="E5">
            <v>1255637</v>
          </cell>
          <cell r="F5">
            <v>1267729</v>
          </cell>
          <cell r="G5">
            <v>1287782</v>
          </cell>
          <cell r="H5">
            <v>1272663</v>
          </cell>
          <cell r="I5">
            <v>1245389</v>
          </cell>
          <cell r="J5">
            <v>1247686</v>
          </cell>
          <cell r="K5">
            <v>1248764</v>
          </cell>
          <cell r="L5">
            <v>1222014</v>
          </cell>
          <cell r="M5">
            <v>1245260</v>
          </cell>
        </row>
        <row r="6">
          <cell r="B6">
            <v>998000</v>
          </cell>
          <cell r="C6">
            <v>1138866</v>
          </cell>
          <cell r="D6">
            <v>1243193</v>
          </cell>
          <cell r="E6">
            <v>1326419</v>
          </cell>
          <cell r="F6">
            <v>1346489</v>
          </cell>
          <cell r="G6">
            <v>1365646</v>
          </cell>
          <cell r="H6">
            <v>1356066</v>
          </cell>
          <cell r="I6">
            <v>1322314</v>
          </cell>
          <cell r="J6">
            <v>1323684</v>
          </cell>
          <cell r="K6">
            <v>1321783</v>
          </cell>
          <cell r="L6">
            <v>1291483</v>
          </cell>
          <cell r="M6">
            <v>1317764</v>
          </cell>
        </row>
        <row r="7">
          <cell r="B7">
            <v>600786</v>
          </cell>
          <cell r="C7">
            <v>700689</v>
          </cell>
          <cell r="D7">
            <v>776073</v>
          </cell>
          <cell r="E7">
            <v>826401</v>
          </cell>
          <cell r="F7">
            <v>836989</v>
          </cell>
          <cell r="G7">
            <v>848236</v>
          </cell>
          <cell r="H7">
            <v>843172</v>
          </cell>
          <cell r="I7">
            <v>819880</v>
          </cell>
          <cell r="J7">
            <v>818453</v>
          </cell>
          <cell r="K7">
            <v>813576</v>
          </cell>
          <cell r="L7">
            <v>791015</v>
          </cell>
          <cell r="M7">
            <v>814805</v>
          </cell>
        </row>
        <row r="8">
          <cell r="B8">
            <v>365188</v>
          </cell>
          <cell r="C8">
            <v>425204</v>
          </cell>
          <cell r="D8">
            <v>470149</v>
          </cell>
          <cell r="E8">
            <v>504164</v>
          </cell>
          <cell r="F8">
            <v>507896</v>
          </cell>
          <cell r="G8">
            <v>516099</v>
          </cell>
          <cell r="H8">
            <v>509575</v>
          </cell>
          <cell r="I8">
            <v>498898</v>
          </cell>
          <cell r="J8">
            <v>498855</v>
          </cell>
          <cell r="K8">
            <v>497112</v>
          </cell>
          <cell r="L8">
            <v>481538</v>
          </cell>
          <cell r="M8">
            <v>495527</v>
          </cell>
        </row>
        <row r="9">
          <cell r="B9">
            <v>294034</v>
          </cell>
          <cell r="C9">
            <v>341562</v>
          </cell>
          <cell r="D9">
            <v>382592</v>
          </cell>
          <cell r="E9">
            <v>413084</v>
          </cell>
          <cell r="F9">
            <v>418634</v>
          </cell>
          <cell r="G9">
            <v>427518</v>
          </cell>
          <cell r="H9">
            <v>425735</v>
          </cell>
          <cell r="I9">
            <v>417486</v>
          </cell>
          <cell r="J9">
            <v>418973</v>
          </cell>
          <cell r="K9">
            <v>419201</v>
          </cell>
          <cell r="L9">
            <v>410494</v>
          </cell>
          <cell r="M9">
            <v>420805</v>
          </cell>
        </row>
        <row r="10">
          <cell r="B10">
            <v>80832</v>
          </cell>
          <cell r="C10">
            <v>93033</v>
          </cell>
          <cell r="D10">
            <v>107667</v>
          </cell>
          <cell r="E10">
            <v>119972</v>
          </cell>
          <cell r="F10">
            <v>121927</v>
          </cell>
          <cell r="G10">
            <v>124803</v>
          </cell>
          <cell r="H10">
            <v>124522</v>
          </cell>
          <cell r="I10">
            <v>118903</v>
          </cell>
          <cell r="J10">
            <v>119547</v>
          </cell>
          <cell r="K10">
            <v>119333</v>
          </cell>
          <cell r="L10">
            <v>117113</v>
          </cell>
          <cell r="M10">
            <v>119897</v>
          </cell>
        </row>
        <row r="11">
          <cell r="B11">
            <v>281090</v>
          </cell>
          <cell r="C11">
            <v>324911</v>
          </cell>
          <cell r="D11">
            <v>369461</v>
          </cell>
          <cell r="E11">
            <v>409309</v>
          </cell>
          <cell r="F11">
            <v>414494</v>
          </cell>
          <cell r="G11">
            <v>423538</v>
          </cell>
          <cell r="H11">
            <v>419126</v>
          </cell>
          <cell r="I11">
            <v>407156</v>
          </cell>
          <cell r="J11">
            <v>407670</v>
          </cell>
          <cell r="K11">
            <v>408205</v>
          </cell>
          <cell r="L11">
            <v>397205</v>
          </cell>
          <cell r="M11">
            <v>409546</v>
          </cell>
        </row>
        <row r="12">
          <cell r="M12">
            <v>5916813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ications per month"/>
      <sheetName val="Total applications"/>
      <sheetName val="Weekly applications"/>
      <sheetName val="Quad 7 applications"/>
      <sheetName val="Caregivers"/>
      <sheetName val="Applications by age gender"/>
      <sheetName val="Total approved"/>
      <sheetName val="Total paid"/>
      <sheetName val="Total paid by channel"/>
      <sheetName val="Reconsideration cases"/>
      <sheetName val="Declined"/>
      <sheetName val="Education level"/>
      <sheetName val="Employment history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1054857</v>
          </cell>
          <cell r="E3">
            <v>1230304</v>
          </cell>
          <cell r="H3">
            <v>1289822</v>
          </cell>
          <cell r="K3">
            <v>1310558</v>
          </cell>
          <cell r="N3">
            <v>1377179</v>
          </cell>
          <cell r="Q3">
            <v>1393214</v>
          </cell>
          <cell r="T3">
            <v>1411044</v>
          </cell>
          <cell r="W3">
            <v>1442015</v>
          </cell>
        </row>
        <row r="4">
          <cell r="B4">
            <v>451531</v>
          </cell>
          <cell r="E4">
            <v>532146</v>
          </cell>
          <cell r="H4">
            <v>556085</v>
          </cell>
          <cell r="K4">
            <v>565797</v>
          </cell>
          <cell r="N4">
            <v>583397</v>
          </cell>
          <cell r="Q4">
            <v>591359</v>
          </cell>
          <cell r="T4">
            <v>600512</v>
          </cell>
          <cell r="W4">
            <v>613043</v>
          </cell>
        </row>
        <row r="5">
          <cell r="B5">
            <v>1626353</v>
          </cell>
          <cell r="E5">
            <v>1824222</v>
          </cell>
          <cell r="H5">
            <v>1889563</v>
          </cell>
          <cell r="K5">
            <v>1904851</v>
          </cell>
          <cell r="N5">
            <v>2037597</v>
          </cell>
          <cell r="Q5">
            <v>2070303</v>
          </cell>
          <cell r="T5">
            <v>2097806</v>
          </cell>
          <cell r="W5">
            <v>2134548</v>
          </cell>
        </row>
        <row r="6">
          <cell r="B6">
            <v>1904088</v>
          </cell>
          <cell r="E6">
            <v>2179460</v>
          </cell>
          <cell r="H6">
            <v>2268402</v>
          </cell>
          <cell r="K6">
            <v>2296303</v>
          </cell>
          <cell r="N6">
            <v>2402718</v>
          </cell>
          <cell r="Q6">
            <v>2417127</v>
          </cell>
          <cell r="T6">
            <v>2431617</v>
          </cell>
          <cell r="W6">
            <v>2490919</v>
          </cell>
        </row>
        <row r="7">
          <cell r="B7">
            <v>1284342</v>
          </cell>
          <cell r="E7">
            <v>1386539</v>
          </cell>
          <cell r="H7">
            <v>1417166</v>
          </cell>
          <cell r="K7">
            <v>1422930</v>
          </cell>
          <cell r="N7">
            <v>1472563</v>
          </cell>
          <cell r="Q7">
            <v>1484496</v>
          </cell>
          <cell r="T7">
            <v>1493547</v>
          </cell>
          <cell r="W7">
            <v>1513260</v>
          </cell>
        </row>
        <row r="8">
          <cell r="B8">
            <v>764166</v>
          </cell>
          <cell r="E8">
            <v>845088</v>
          </cell>
          <cell r="H8">
            <v>870986</v>
          </cell>
          <cell r="K8">
            <v>877452</v>
          </cell>
          <cell r="N8">
            <v>930406</v>
          </cell>
          <cell r="Q8">
            <v>940685</v>
          </cell>
          <cell r="T8">
            <v>950956</v>
          </cell>
          <cell r="W8">
            <v>966667</v>
          </cell>
        </row>
        <row r="9">
          <cell r="B9">
            <v>591822</v>
          </cell>
          <cell r="E9">
            <v>680680</v>
          </cell>
          <cell r="H9">
            <v>709064</v>
          </cell>
          <cell r="K9">
            <v>719348</v>
          </cell>
          <cell r="N9">
            <v>762581</v>
          </cell>
          <cell r="Q9">
            <v>771735</v>
          </cell>
          <cell r="T9">
            <v>782402</v>
          </cell>
          <cell r="W9">
            <v>799188</v>
          </cell>
        </row>
        <row r="10">
          <cell r="B10">
            <v>148842</v>
          </cell>
          <cell r="E10">
            <v>180056</v>
          </cell>
          <cell r="H10">
            <v>191532</v>
          </cell>
          <cell r="K10">
            <v>197482</v>
          </cell>
          <cell r="N10">
            <v>204460</v>
          </cell>
          <cell r="Q10">
            <v>207191</v>
          </cell>
          <cell r="T10">
            <v>210766</v>
          </cell>
          <cell r="W10">
            <v>219912</v>
          </cell>
        </row>
        <row r="11">
          <cell r="B11">
            <v>484406</v>
          </cell>
          <cell r="E11">
            <v>569941</v>
          </cell>
          <cell r="H11">
            <v>595475</v>
          </cell>
          <cell r="K11">
            <v>603765</v>
          </cell>
          <cell r="N11">
            <v>677984</v>
          </cell>
          <cell r="Q11">
            <v>688308</v>
          </cell>
          <cell r="T11">
            <v>702807</v>
          </cell>
          <cell r="W11">
            <v>721684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  <sheetName val="FS"/>
      <sheetName val="GT"/>
      <sheetName val="KZN"/>
      <sheetName val="LIM"/>
      <sheetName val="MPU"/>
      <sheetName val="NC"/>
      <sheetName val="NW"/>
      <sheetName val="WC"/>
      <sheetName val="Summary"/>
      <sheetName val="Sheet1"/>
    </sheetNames>
    <sheetDataSet>
      <sheetData sheetId="0">
        <row r="133">
          <cell r="N133">
            <v>62832.662070000006</v>
          </cell>
        </row>
      </sheetData>
      <sheetData sheetId="1">
        <row r="133">
          <cell r="N133">
            <v>26202.776469999997</v>
          </cell>
        </row>
      </sheetData>
      <sheetData sheetId="2">
        <row r="133">
          <cell r="N133">
            <v>61058.493889999998</v>
          </cell>
        </row>
      </sheetData>
      <sheetData sheetId="3">
        <row r="133">
          <cell r="N133">
            <v>95818.764870000014</v>
          </cell>
        </row>
      </sheetData>
      <sheetData sheetId="4">
        <row r="133">
          <cell r="N133">
            <v>50281.996089999993</v>
          </cell>
        </row>
      </sheetData>
      <sheetData sheetId="5">
        <row r="133">
          <cell r="N133">
            <v>31369.266189999995</v>
          </cell>
        </row>
      </sheetData>
      <sheetData sheetId="6">
        <row r="133">
          <cell r="N133">
            <v>12372.15568</v>
          </cell>
        </row>
      </sheetData>
      <sheetData sheetId="7">
        <row r="133">
          <cell r="N133">
            <v>29757.954030000004</v>
          </cell>
        </row>
      </sheetData>
      <sheetData sheetId="8">
        <row r="133">
          <cell r="N133">
            <v>32832.94816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istration"/>
      <sheetName val="EC_SocAss"/>
      <sheetName val="FS_SocAss"/>
      <sheetName val="GT_SocAss"/>
      <sheetName val="KZN_SocAss"/>
      <sheetName val="LIM_SocAss"/>
      <sheetName val="MPU_SocAss"/>
      <sheetName val="NC_SocAss"/>
      <sheetName val="NW_SocAss"/>
      <sheetName val="WC_SocAss"/>
      <sheetName val="Summary"/>
    </sheetNames>
    <sheetDataSet>
      <sheetData sheetId="0"/>
      <sheetData sheetId="1">
        <row r="115">
          <cell r="N115">
            <v>17748110.37156</v>
          </cell>
        </row>
      </sheetData>
      <sheetData sheetId="2">
        <row r="115">
          <cell r="N115">
            <v>6486855.2842399999</v>
          </cell>
        </row>
      </sheetData>
      <sheetData sheetId="3">
        <row r="115">
          <cell r="N115">
            <v>13306107.992459999</v>
          </cell>
        </row>
      </sheetData>
      <sheetData sheetId="4">
        <row r="115">
          <cell r="N115">
            <v>24608438.629503004</v>
          </cell>
        </row>
      </sheetData>
      <sheetData sheetId="5">
        <row r="115">
          <cell r="N115">
            <v>13294333.453019999</v>
          </cell>
        </row>
      </sheetData>
      <sheetData sheetId="6">
        <row r="115">
          <cell r="N115">
            <v>8291714.7861500001</v>
          </cell>
        </row>
      </sheetData>
      <sheetData sheetId="7">
        <row r="115">
          <cell r="N115">
            <v>2952316.7739200001</v>
          </cell>
        </row>
      </sheetData>
      <sheetData sheetId="8">
        <row r="115">
          <cell r="N115">
            <v>7940891.5407500006</v>
          </cell>
        </row>
      </sheetData>
      <sheetData sheetId="9">
        <row r="115">
          <cell r="N115">
            <v>9311109.8309669998</v>
          </cell>
        </row>
      </sheetData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  <sheetName val="FS"/>
      <sheetName val="GT"/>
      <sheetName val="KZN"/>
      <sheetName val="LIM"/>
      <sheetName val="MPU"/>
      <sheetName val="NC"/>
      <sheetName val="NW"/>
      <sheetName val="WC"/>
      <sheetName val="Summary"/>
    </sheetNames>
    <sheetDataSet>
      <sheetData sheetId="0">
        <row r="133">
          <cell r="N133">
            <v>57500.541289999994</v>
          </cell>
        </row>
      </sheetData>
      <sheetData sheetId="1">
        <row r="133">
          <cell r="N133">
            <v>18790.11779</v>
          </cell>
        </row>
      </sheetData>
      <sheetData sheetId="2">
        <row r="133">
          <cell r="N133">
            <v>18401.987459999997</v>
          </cell>
        </row>
      </sheetData>
      <sheetData sheetId="3">
        <row r="133">
          <cell r="N133">
            <v>31707.735640000003</v>
          </cell>
        </row>
      </sheetData>
      <sheetData sheetId="4">
        <row r="133">
          <cell r="N133">
            <v>41783.012410000003</v>
          </cell>
        </row>
      </sheetData>
      <sheetData sheetId="5">
        <row r="133">
          <cell r="N133">
            <v>10081.797229999998</v>
          </cell>
        </row>
      </sheetData>
      <sheetData sheetId="6">
        <row r="133">
          <cell r="N133">
            <v>13619.671579999998</v>
          </cell>
        </row>
      </sheetData>
      <sheetData sheetId="7">
        <row r="133">
          <cell r="N133">
            <v>10016.33678</v>
          </cell>
        </row>
      </sheetData>
      <sheetData sheetId="8">
        <row r="133">
          <cell r="N133">
            <v>23072.82</v>
          </cell>
        </row>
      </sheetData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ION"/>
      <sheetName val="EC"/>
      <sheetName val="FS"/>
      <sheetName val="GP"/>
      <sheetName val="KZN"/>
      <sheetName val="LP"/>
      <sheetName val="MP"/>
      <sheetName val="NC"/>
      <sheetName val="NW"/>
      <sheetName val="WC"/>
      <sheetName val="NATIONAL"/>
      <sheetName val="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2">
          <cell r="B12">
            <v>4243956.5</v>
          </cell>
          <cell r="C12">
            <v>1800249.5</v>
          </cell>
          <cell r="E12">
            <v>7361472.0137</v>
          </cell>
          <cell r="G12">
            <v>2867426.1</v>
          </cell>
          <cell r="I12">
            <v>2323922.2999999998</v>
          </cell>
          <cell r="J12">
            <v>2057294.9500000002</v>
          </cell>
        </row>
      </sheetData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  <sheetName val="FS"/>
      <sheetName val="GT"/>
      <sheetName val="KZN"/>
      <sheetName val="LIM"/>
      <sheetName val="MPU"/>
      <sheetName val="NC"/>
      <sheetName val="NW"/>
      <sheetName val="WC"/>
      <sheetName val="Summary"/>
    </sheetNames>
    <sheetDataSet>
      <sheetData sheetId="0">
        <row r="125">
          <cell r="P125">
            <v>18596498.086929999</v>
          </cell>
        </row>
      </sheetData>
      <sheetData sheetId="1">
        <row r="125">
          <cell r="P125">
            <v>6763191.2627599994</v>
          </cell>
        </row>
      </sheetData>
      <sheetData sheetId="2">
        <row r="125">
          <cell r="P125">
            <v>14777810.57151</v>
          </cell>
        </row>
      </sheetData>
      <sheetData sheetId="3">
        <row r="125">
          <cell r="P125">
            <v>25370360.440310005</v>
          </cell>
        </row>
      </sheetData>
      <sheetData sheetId="4">
        <row r="125">
          <cell r="P125">
            <v>14267854.759950001</v>
          </cell>
        </row>
      </sheetData>
      <sheetData sheetId="5">
        <row r="125">
          <cell r="P125">
            <v>8663860.5052899998</v>
          </cell>
        </row>
      </sheetData>
      <sheetData sheetId="6">
        <row r="125">
          <cell r="P125">
            <v>3165198.6491300003</v>
          </cell>
        </row>
      </sheetData>
      <sheetData sheetId="7">
        <row r="125">
          <cell r="P125">
            <v>7940867.8566399999</v>
          </cell>
        </row>
      </sheetData>
      <sheetData sheetId="8">
        <row r="125">
          <cell r="P125">
            <v>10041285.036559999</v>
          </cell>
        </row>
      </sheetData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  <sheetName val="FS"/>
      <sheetName val="GT"/>
      <sheetName val="KZN"/>
      <sheetName val="LIM"/>
      <sheetName val="MPU"/>
      <sheetName val="NC"/>
      <sheetName val="NW"/>
      <sheetName val="WC"/>
      <sheetName val="Summary"/>
    </sheetNames>
    <sheetDataSet>
      <sheetData sheetId="0">
        <row r="82">
          <cell r="N82">
            <v>20106396.616299998</v>
          </cell>
        </row>
      </sheetData>
      <sheetData sheetId="1">
        <row r="82">
          <cell r="N82">
            <v>7228507.1952299997</v>
          </cell>
        </row>
      </sheetData>
      <sheetData sheetId="2">
        <row r="82">
          <cell r="N82">
            <v>16432326.079210002</v>
          </cell>
        </row>
      </sheetData>
      <sheetData sheetId="3">
        <row r="82">
          <cell r="N82">
            <v>27551700.110220004</v>
          </cell>
        </row>
      </sheetData>
      <sheetData sheetId="4">
        <row r="82">
          <cell r="N82">
            <v>15776976.546499999</v>
          </cell>
        </row>
      </sheetData>
      <sheetData sheetId="5">
        <row r="82">
          <cell r="N82">
            <v>9349153.0447799973</v>
          </cell>
        </row>
      </sheetData>
      <sheetData sheetId="6">
        <row r="82">
          <cell r="N82">
            <v>3464710.6618300001</v>
          </cell>
        </row>
      </sheetData>
      <sheetData sheetId="7">
        <row r="82">
          <cell r="N82">
            <v>8742428.4934800006</v>
          </cell>
        </row>
      </sheetData>
      <sheetData sheetId="8">
        <row r="82">
          <cell r="N82">
            <v>11305503.380060004</v>
          </cell>
        </row>
      </sheetData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  <sheetName val="FS"/>
      <sheetName val="GT"/>
      <sheetName val="KZN"/>
      <sheetName val="LIM"/>
      <sheetName val="MPU"/>
      <sheetName val="NC"/>
      <sheetName val="NW"/>
      <sheetName val="WC"/>
      <sheetName val="Summary"/>
    </sheetNames>
    <sheetDataSet>
      <sheetData sheetId="0">
        <row r="136">
          <cell r="N136">
            <v>21338013.866269998</v>
          </cell>
        </row>
      </sheetData>
      <sheetData sheetId="1">
        <row r="136">
          <cell r="N136">
            <v>7650429.9276799988</v>
          </cell>
        </row>
      </sheetData>
      <sheetData sheetId="2">
        <row r="136">
          <cell r="N136">
            <v>18082882.44949</v>
          </cell>
        </row>
      </sheetData>
      <sheetData sheetId="3">
        <row r="136">
          <cell r="N136">
            <v>29015217.43056</v>
          </cell>
        </row>
      </sheetData>
      <sheetData sheetId="4">
        <row r="136">
          <cell r="N136">
            <v>16928639.095720001</v>
          </cell>
        </row>
      </sheetData>
      <sheetData sheetId="5">
        <row r="136">
          <cell r="N136">
            <v>10033338.64112</v>
          </cell>
        </row>
      </sheetData>
      <sheetData sheetId="6">
        <row r="136">
          <cell r="N136">
            <v>3737029.48991</v>
          </cell>
        </row>
      </sheetData>
      <sheetData sheetId="7">
        <row r="136">
          <cell r="N136">
            <v>9337529.6837800015</v>
          </cell>
        </row>
      </sheetData>
      <sheetData sheetId="8">
        <row r="136">
          <cell r="N136">
            <v>12199775.670649998</v>
          </cell>
        </row>
      </sheetData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  <sheetName val="FS"/>
      <sheetName val="GT"/>
      <sheetName val="KZN"/>
      <sheetName val="LIM"/>
      <sheetName val="MPU"/>
      <sheetName val="NC"/>
      <sheetName val="NW"/>
      <sheetName val="WC"/>
      <sheetName val="Summary"/>
      <sheetName val="Sheet1"/>
    </sheetNames>
    <sheetDataSet>
      <sheetData sheetId="0">
        <row r="133">
          <cell r="N133">
            <v>95745.461849999992</v>
          </cell>
        </row>
        <row r="136">
          <cell r="N136">
            <v>22909578.402380001</v>
          </cell>
        </row>
      </sheetData>
      <sheetData sheetId="1">
        <row r="133">
          <cell r="N133">
            <v>33436.122340000002</v>
          </cell>
        </row>
        <row r="136">
          <cell r="N136">
            <v>8286296.4955799989</v>
          </cell>
        </row>
      </sheetData>
      <sheetData sheetId="2">
        <row r="133">
          <cell r="N133">
            <v>66673.701460000011</v>
          </cell>
        </row>
        <row r="136">
          <cell r="N136">
            <v>20151143.143970001</v>
          </cell>
        </row>
      </sheetData>
      <sheetData sheetId="3">
        <row r="133">
          <cell r="N133">
            <v>124247.40508</v>
          </cell>
        </row>
        <row r="136">
          <cell r="N136">
            <v>30656185.620729998</v>
          </cell>
        </row>
      </sheetData>
      <sheetData sheetId="4">
        <row r="133">
          <cell r="N133">
            <v>81213.378350000014</v>
          </cell>
        </row>
        <row r="136">
          <cell r="N136">
            <v>18467072.279379997</v>
          </cell>
        </row>
      </sheetData>
      <sheetData sheetId="5">
        <row r="133">
          <cell r="N133">
            <v>47518.014120000007</v>
          </cell>
        </row>
        <row r="136">
          <cell r="N136">
            <v>10907530.446799999</v>
          </cell>
        </row>
      </sheetData>
      <sheetData sheetId="6">
        <row r="133">
          <cell r="N133">
            <v>18590.35687</v>
          </cell>
        </row>
        <row r="136">
          <cell r="N136">
            <v>4049358.9742700001</v>
          </cell>
        </row>
      </sheetData>
      <sheetData sheetId="7">
        <row r="133">
          <cell r="N133">
            <v>43905.925750000002</v>
          </cell>
        </row>
        <row r="136">
          <cell r="N136">
            <v>10074749.02922</v>
          </cell>
        </row>
      </sheetData>
      <sheetData sheetId="8">
        <row r="133">
          <cell r="N133">
            <v>76308.617589999994</v>
          </cell>
        </row>
        <row r="136">
          <cell r="N136">
            <v>13403268.141710002</v>
          </cell>
        </row>
      </sheetData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  <sheetName val="FS"/>
      <sheetName val="GT"/>
      <sheetName val="KZN"/>
      <sheetName val="LIM"/>
      <sheetName val="MPU"/>
      <sheetName val="NC"/>
      <sheetName val="NW"/>
      <sheetName val="WC"/>
      <sheetName val="Summary"/>
    </sheetNames>
    <sheetDataSet>
      <sheetData sheetId="0">
        <row r="49">
          <cell r="N49">
            <v>24547085.468521997</v>
          </cell>
        </row>
        <row r="133">
          <cell r="N133">
            <v>87270.017750000014</v>
          </cell>
        </row>
      </sheetData>
      <sheetData sheetId="1">
        <row r="49">
          <cell r="N49">
            <v>8950168.2075299993</v>
          </cell>
        </row>
        <row r="133">
          <cell r="N133">
            <v>35834.237200000003</v>
          </cell>
        </row>
      </sheetData>
      <sheetData sheetId="2">
        <row r="49">
          <cell r="N49">
            <v>22475354.819509998</v>
          </cell>
        </row>
        <row r="133">
          <cell r="N133">
            <v>67374.033049999998</v>
          </cell>
        </row>
      </sheetData>
      <sheetData sheetId="3">
        <row r="49">
          <cell r="N49">
            <v>32599981.247220002</v>
          </cell>
        </row>
        <row r="133">
          <cell r="N133">
            <v>128507.39921</v>
          </cell>
        </row>
      </sheetData>
      <sheetData sheetId="4">
        <row r="49">
          <cell r="N49">
            <v>19970185.52</v>
          </cell>
        </row>
        <row r="133">
          <cell r="N133">
            <v>81839.946520000012</v>
          </cell>
        </row>
      </sheetData>
      <sheetData sheetId="5">
        <row r="49">
          <cell r="N49">
            <v>11855772.556300001</v>
          </cell>
        </row>
        <row r="133">
          <cell r="N133">
            <v>41166.640420000003</v>
          </cell>
        </row>
      </sheetData>
      <sheetData sheetId="6">
        <row r="49">
          <cell r="N49">
            <v>4366463.6256999997</v>
          </cell>
        </row>
        <row r="133">
          <cell r="N133">
            <v>21954.004043333331</v>
          </cell>
        </row>
      </sheetData>
      <sheetData sheetId="7">
        <row r="49">
          <cell r="N49">
            <v>10829783.830159999</v>
          </cell>
        </row>
        <row r="133">
          <cell r="N133">
            <v>33394.364889999997</v>
          </cell>
        </row>
      </sheetData>
      <sheetData sheetId="8">
        <row r="49">
          <cell r="N49">
            <v>14734307.242390001</v>
          </cell>
        </row>
        <row r="133">
          <cell r="N133">
            <v>43932.578990000002</v>
          </cell>
        </row>
      </sheetData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  <sheetName val="FS"/>
      <sheetName val="GT"/>
      <sheetName val="KZN"/>
      <sheetName val="LIM"/>
      <sheetName val="MPU"/>
      <sheetName val="NC"/>
      <sheetName val="NW"/>
      <sheetName val="WC"/>
      <sheetName val="Summary"/>
    </sheetNames>
    <sheetDataSet>
      <sheetData sheetId="0">
        <row r="133">
          <cell r="N133">
            <v>70589.744180000009</v>
          </cell>
        </row>
        <row r="136">
          <cell r="N136">
            <v>26515223.526249997</v>
          </cell>
        </row>
      </sheetData>
      <sheetData sheetId="1">
        <row r="133">
          <cell r="N133">
            <v>37497.409489999998</v>
          </cell>
        </row>
        <row r="136">
          <cell r="N136">
            <v>9644029.7234300002</v>
          </cell>
        </row>
      </sheetData>
      <sheetData sheetId="2">
        <row r="133">
          <cell r="N133">
            <v>61868.897230000002</v>
          </cell>
        </row>
        <row r="136">
          <cell r="N136">
            <v>24704727.853870001</v>
          </cell>
        </row>
      </sheetData>
      <sheetData sheetId="3">
        <row r="133">
          <cell r="N133">
            <v>77035.628230000002</v>
          </cell>
        </row>
        <row r="136">
          <cell r="N136">
            <v>34956196.652139999</v>
          </cell>
        </row>
      </sheetData>
      <sheetData sheetId="4">
        <row r="133">
          <cell r="N133">
            <v>58182.965499999991</v>
          </cell>
        </row>
        <row r="136">
          <cell r="N136">
            <v>21685380.230590001</v>
          </cell>
        </row>
      </sheetData>
      <sheetData sheetId="5">
        <row r="133">
          <cell r="N133">
            <v>34129.429060000002</v>
          </cell>
        </row>
        <row r="136">
          <cell r="N136">
            <v>12877188.78088</v>
          </cell>
        </row>
      </sheetData>
      <sheetData sheetId="6">
        <row r="133">
          <cell r="N133">
            <v>21957.256580000001</v>
          </cell>
        </row>
        <row r="136">
          <cell r="N136">
            <v>4684756.1149700005</v>
          </cell>
        </row>
      </sheetData>
      <sheetData sheetId="7">
        <row r="133">
          <cell r="N133">
            <v>30960.361299999997</v>
          </cell>
        </row>
        <row r="136">
          <cell r="N136">
            <v>11624764.853949999</v>
          </cell>
        </row>
      </sheetData>
      <sheetData sheetId="8">
        <row r="133">
          <cell r="N133">
            <v>24497.861720000001</v>
          </cell>
        </row>
        <row r="136">
          <cell r="N136">
            <v>16018187.663109999</v>
          </cell>
        </row>
      </sheetData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  <sheetName val="FS"/>
      <sheetName val="GT"/>
      <sheetName val="KZN"/>
      <sheetName val="LIM"/>
      <sheetName val="MPU"/>
      <sheetName val="NC"/>
      <sheetName val="NW"/>
      <sheetName val="WC"/>
      <sheetName val="Summary"/>
      <sheetName val="Sheet1"/>
    </sheetNames>
    <sheetDataSet>
      <sheetData sheetId="0">
        <row r="136">
          <cell r="N136">
            <v>30631929.905299999</v>
          </cell>
        </row>
      </sheetData>
      <sheetData sheetId="1">
        <row r="136">
          <cell r="N136">
            <v>11206785.797290001</v>
          </cell>
        </row>
      </sheetData>
      <sheetData sheetId="2">
        <row r="136">
          <cell r="N136">
            <v>29586171.222860001</v>
          </cell>
        </row>
      </sheetData>
      <sheetData sheetId="3">
        <row r="136">
          <cell r="N136">
            <v>40848545.652409993</v>
          </cell>
        </row>
      </sheetData>
      <sheetData sheetId="4">
        <row r="136">
          <cell r="N136">
            <v>25240127.048459996</v>
          </cell>
        </row>
      </sheetData>
      <sheetData sheetId="5">
        <row r="136">
          <cell r="N136">
            <v>15002306.100019999</v>
          </cell>
        </row>
      </sheetData>
      <sheetData sheetId="6">
        <row r="136">
          <cell r="N136">
            <v>5438655.9071800001</v>
          </cell>
        </row>
      </sheetData>
      <sheetData sheetId="7">
        <row r="136">
          <cell r="N136">
            <v>13440340.032320002</v>
          </cell>
        </row>
      </sheetData>
      <sheetData sheetId="8">
        <row r="136">
          <cell r="N136">
            <v>18896621.714400001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61EE9-EF54-4683-B65D-9F1ED02C2D4A}">
  <dimension ref="A1:U24"/>
  <sheetViews>
    <sheetView zoomScaleNormal="100" workbookViewId="0">
      <selection activeCell="I34" sqref="I34"/>
    </sheetView>
  </sheetViews>
  <sheetFormatPr defaultRowHeight="14.5" x14ac:dyDescent="0.35"/>
  <cols>
    <col min="1" max="1" width="12.1796875" customWidth="1"/>
    <col min="2" max="19" width="8.6328125" customWidth="1"/>
    <col min="21" max="21" width="0" hidden="1" customWidth="1"/>
  </cols>
  <sheetData>
    <row r="1" spans="1:21" x14ac:dyDescent="0.35">
      <c r="A1" s="1" t="s">
        <v>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6"/>
    </row>
    <row r="2" spans="1:21" x14ac:dyDescent="0.35">
      <c r="A2" s="7"/>
      <c r="B2" s="53" t="s">
        <v>1</v>
      </c>
      <c r="C2" s="53" t="s">
        <v>2</v>
      </c>
      <c r="D2" s="53" t="s">
        <v>3</v>
      </c>
      <c r="E2" s="53" t="s">
        <v>32</v>
      </c>
      <c r="F2" s="53" t="s">
        <v>5</v>
      </c>
      <c r="G2" s="53" t="s">
        <v>6</v>
      </c>
      <c r="H2" s="53" t="s">
        <v>7</v>
      </c>
      <c r="I2" s="53" t="s">
        <v>8</v>
      </c>
      <c r="J2" s="53" t="s">
        <v>9</v>
      </c>
      <c r="K2" s="53" t="s">
        <v>10</v>
      </c>
      <c r="L2" s="53" t="s">
        <v>11</v>
      </c>
      <c r="M2" s="53" t="s">
        <v>12</v>
      </c>
      <c r="N2" s="53" t="s">
        <v>13</v>
      </c>
      <c r="O2" s="53" t="s">
        <v>14</v>
      </c>
      <c r="P2" s="53" t="s">
        <v>15</v>
      </c>
      <c r="Q2" s="53" t="s">
        <v>16</v>
      </c>
      <c r="R2" s="53" t="s">
        <v>17</v>
      </c>
      <c r="S2" s="54" t="s">
        <v>18</v>
      </c>
    </row>
    <row r="3" spans="1:21" x14ac:dyDescent="0.35">
      <c r="A3" s="55" t="s">
        <v>33</v>
      </c>
      <c r="B3" s="103" t="s">
        <v>19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5" t="s">
        <v>20</v>
      </c>
      <c r="R3" s="105"/>
      <c r="S3" s="106"/>
    </row>
    <row r="4" spans="1:21" x14ac:dyDescent="0.35">
      <c r="A4" s="20" t="s">
        <v>53</v>
      </c>
      <c r="B4" s="56">
        <f>22803.047+21.845</f>
        <v>22824.892</v>
      </c>
      <c r="C4" s="56">
        <f>25933.971+19.692</f>
        <v>25953.663</v>
      </c>
      <c r="D4" s="56">
        <f>29826.42+16.644</f>
        <v>29843.063999999998</v>
      </c>
      <c r="E4" s="56">
        <v>33765</v>
      </c>
      <c r="F4" s="56">
        <f>37129.812+11.848</f>
        <v>37141.659999999996</v>
      </c>
      <c r="G4" s="57">
        <f>40475.021+9.543</f>
        <v>40484.563999999998</v>
      </c>
      <c r="H4" s="56">
        <v>44071.896000000001</v>
      </c>
      <c r="I4" s="56">
        <f>49039.94+6.157</f>
        <v>49046.097000000002</v>
      </c>
      <c r="J4" s="56">
        <v>53139.322999999997</v>
      </c>
      <c r="K4" s="56">
        <v>58331</v>
      </c>
      <c r="L4" s="58">
        <f>64130.161+3.086</f>
        <v>64133.247000000003</v>
      </c>
      <c r="M4" s="58">
        <f>('[1]2'!$L$47+'[1]2'!$L$48)/1000</f>
        <v>70544.475999999995</v>
      </c>
      <c r="N4" s="56">
        <f>83493+1.762</f>
        <v>83494.762000000002</v>
      </c>
      <c r="O4" s="56">
        <f>81024.952+1.101</f>
        <v>81026.053</v>
      </c>
      <c r="P4" s="59">
        <f>84102.284+0.704</f>
        <v>84102.987999999998</v>
      </c>
      <c r="Q4" s="59">
        <f>92145.781+0.962</f>
        <v>92146.743000000002</v>
      </c>
      <c r="R4" s="59">
        <f>95100.181+0.966</f>
        <v>95101.146999999997</v>
      </c>
      <c r="S4" s="60">
        <f>102371.078+1.009</f>
        <v>102372.087</v>
      </c>
    </row>
    <row r="5" spans="1:21" x14ac:dyDescent="0.35">
      <c r="A5" s="20" t="s">
        <v>22</v>
      </c>
      <c r="B5" s="61">
        <v>15281.403</v>
      </c>
      <c r="C5" s="61">
        <v>16473.424999999999</v>
      </c>
      <c r="D5" s="61">
        <v>16566.681</v>
      </c>
      <c r="E5" s="61">
        <v>16840</v>
      </c>
      <c r="F5" s="62">
        <v>17374.84</v>
      </c>
      <c r="G5" s="61">
        <v>17637</v>
      </c>
      <c r="H5" s="61">
        <v>17768.631000000001</v>
      </c>
      <c r="I5" s="61">
        <v>18741.884999999998</v>
      </c>
      <c r="J5" s="61">
        <v>19166.969000000001</v>
      </c>
      <c r="K5" s="61">
        <v>19851</v>
      </c>
      <c r="L5" s="63">
        <v>20944.847000000002</v>
      </c>
      <c r="M5" s="63">
        <f>'[1]2'!L49/1000</f>
        <v>21960.632000000001</v>
      </c>
      <c r="N5" s="61">
        <v>25118.06</v>
      </c>
      <c r="O5" s="61">
        <v>23031.721000000001</v>
      </c>
      <c r="P5" s="64">
        <v>24081.504000000001</v>
      </c>
      <c r="Q5" s="64">
        <v>24703.937000000002</v>
      </c>
      <c r="R5" s="64">
        <v>26800.768</v>
      </c>
      <c r="S5" s="65">
        <v>26992.101999999999</v>
      </c>
    </row>
    <row r="6" spans="1:21" x14ac:dyDescent="0.35">
      <c r="A6" s="20" t="s">
        <v>23</v>
      </c>
      <c r="B6" s="61">
        <v>3414.3150000000001</v>
      </c>
      <c r="C6" s="61">
        <v>3934.7559999999999</v>
      </c>
      <c r="D6" s="61">
        <v>4434.3459999999995</v>
      </c>
      <c r="E6" s="61">
        <v>4616</v>
      </c>
      <c r="F6" s="62">
        <v>5010.88</v>
      </c>
      <c r="G6" s="61">
        <v>5335</v>
      </c>
      <c r="H6" s="61">
        <v>5332.0929999999998</v>
      </c>
      <c r="I6" s="61">
        <v>5413.2089999999998</v>
      </c>
      <c r="J6" s="61">
        <v>5408.37</v>
      </c>
      <c r="K6" s="61">
        <v>5328</v>
      </c>
      <c r="L6" s="63">
        <v>5207.0259999999998</v>
      </c>
      <c r="M6" s="63">
        <f>'[1]2'!L50/1000</f>
        <v>5114.2110000000002</v>
      </c>
      <c r="N6" s="61">
        <v>5397.74</v>
      </c>
      <c r="O6" s="61">
        <v>4783.1099999999997</v>
      </c>
      <c r="P6" s="64">
        <v>4373.4970000000003</v>
      </c>
      <c r="Q6" s="64">
        <v>4057.0909999999999</v>
      </c>
      <c r="R6" s="64">
        <v>3574.598</v>
      </c>
      <c r="S6" s="65">
        <v>3735.1309999999999</v>
      </c>
    </row>
    <row r="7" spans="1:21" x14ac:dyDescent="0.35">
      <c r="A7" s="20" t="s">
        <v>24</v>
      </c>
      <c r="B7" s="61">
        <v>1132.1020000000001</v>
      </c>
      <c r="C7" s="61">
        <v>1292.47</v>
      </c>
      <c r="D7" s="61">
        <v>1434.143</v>
      </c>
      <c r="E7" s="61">
        <v>1586</v>
      </c>
      <c r="F7" s="62">
        <v>1736.42</v>
      </c>
      <c r="G7" s="61">
        <v>1877</v>
      </c>
      <c r="H7" s="61">
        <v>1993.0840000000001</v>
      </c>
      <c r="I7" s="61">
        <v>2211.5830000000001</v>
      </c>
      <c r="J7" s="61">
        <v>2394.7020000000002</v>
      </c>
      <c r="K7" s="61">
        <v>2614</v>
      </c>
      <c r="L7" s="63">
        <v>2841.422</v>
      </c>
      <c r="M7" s="63">
        <f>'[1]2'!L51/1000</f>
        <v>3068.0279999999998</v>
      </c>
      <c r="N7" s="61">
        <v>3598.47</v>
      </c>
      <c r="O7" s="61">
        <v>3445.7759999999998</v>
      </c>
      <c r="P7" s="64">
        <v>3492.8029999999999</v>
      </c>
      <c r="Q7" s="64">
        <v>3874.808</v>
      </c>
      <c r="R7" s="64">
        <v>3889.694</v>
      </c>
      <c r="S7" s="65">
        <v>4064.3780000000002</v>
      </c>
    </row>
    <row r="8" spans="1:21" x14ac:dyDescent="0.35">
      <c r="A8" s="20" t="s">
        <v>25</v>
      </c>
      <c r="B8" s="61">
        <v>19625.983</v>
      </c>
      <c r="C8" s="61">
        <v>22348.556</v>
      </c>
      <c r="D8" s="61">
        <v>26669.760999999999</v>
      </c>
      <c r="E8" s="61">
        <v>30342</v>
      </c>
      <c r="F8" s="62">
        <v>34319.49</v>
      </c>
      <c r="G8" s="61">
        <v>38088</v>
      </c>
      <c r="H8" s="61">
        <v>39623.748</v>
      </c>
      <c r="I8" s="61">
        <v>43718.425000000003</v>
      </c>
      <c r="J8" s="61">
        <v>47308.008000000002</v>
      </c>
      <c r="K8" s="61">
        <v>51555</v>
      </c>
      <c r="L8" s="63">
        <v>55847.798999999999</v>
      </c>
      <c r="M8" s="63">
        <f>'[1]2'!L52/1000</f>
        <v>60611.567999999999</v>
      </c>
      <c r="N8" s="61">
        <v>70877.555999999997</v>
      </c>
      <c r="O8" s="61">
        <v>85590.842999999993</v>
      </c>
      <c r="P8" s="64">
        <v>72666.743000000002</v>
      </c>
      <c r="Q8" s="64">
        <v>77224.362999999998</v>
      </c>
      <c r="R8" s="64">
        <v>80706.130999999994</v>
      </c>
      <c r="S8" s="65">
        <v>84349.017999999996</v>
      </c>
    </row>
    <row r="9" spans="1:21" x14ac:dyDescent="0.35">
      <c r="A9" s="20" t="s">
        <v>28</v>
      </c>
      <c r="B9" s="61">
        <v>87</v>
      </c>
      <c r="C9" s="61">
        <v>90</v>
      </c>
      <c r="D9" s="61">
        <v>146.29499999999999</v>
      </c>
      <c r="E9" s="61">
        <v>170</v>
      </c>
      <c r="F9" s="62">
        <v>204.03</v>
      </c>
      <c r="G9" s="61">
        <v>238</v>
      </c>
      <c r="H9" s="61">
        <v>274.09199999999998</v>
      </c>
      <c r="I9" s="61">
        <v>371.12099999999998</v>
      </c>
      <c r="J9" s="61">
        <v>503.08499999999998</v>
      </c>
      <c r="K9" s="61">
        <v>650</v>
      </c>
      <c r="L9" s="63">
        <v>816.58799999999997</v>
      </c>
      <c r="M9" s="63">
        <f>'[1]2'!L53/1000</f>
        <v>994.20500000000004</v>
      </c>
      <c r="N9" s="61">
        <v>1400.09</v>
      </c>
      <c r="O9" s="61">
        <v>1311.643</v>
      </c>
      <c r="P9" s="64">
        <v>1529.8720000000001</v>
      </c>
      <c r="Q9" s="64">
        <v>1900.87</v>
      </c>
      <c r="R9" s="64">
        <v>1809.71</v>
      </c>
      <c r="S9" s="65">
        <v>1890.9829999999999</v>
      </c>
    </row>
    <row r="10" spans="1:21" x14ac:dyDescent="0.35">
      <c r="A10" s="66" t="s">
        <v>36</v>
      </c>
      <c r="B10" s="67">
        <v>106.244</v>
      </c>
      <c r="C10" s="67">
        <v>623.01199999999994</v>
      </c>
      <c r="D10" s="67">
        <v>165.458</v>
      </c>
      <c r="E10" s="67">
        <v>174</v>
      </c>
      <c r="F10" s="68">
        <v>185.3</v>
      </c>
      <c r="G10" s="67">
        <v>239</v>
      </c>
      <c r="H10" s="67">
        <v>533.04700000000003</v>
      </c>
      <c r="I10" s="67">
        <v>455.71800000000002</v>
      </c>
      <c r="J10" s="67">
        <v>412.91899999999998</v>
      </c>
      <c r="K10" s="67">
        <v>587</v>
      </c>
      <c r="L10" s="69">
        <v>545.84199999999998</v>
      </c>
      <c r="M10" s="69">
        <f>'[1]2'!L54/1000</f>
        <v>416.72</v>
      </c>
      <c r="N10" s="67">
        <v>402.697</v>
      </c>
      <c r="O10" s="67">
        <v>19756.614000000001</v>
      </c>
      <c r="P10" s="70">
        <f>139.789+32330.702</f>
        <v>32470.491000000002</v>
      </c>
      <c r="Q10" s="70">
        <v>44386.78</v>
      </c>
      <c r="R10" s="70">
        <v>388.26600000000002</v>
      </c>
      <c r="S10" s="71">
        <v>405.70299999999997</v>
      </c>
    </row>
    <row r="11" spans="1:21" x14ac:dyDescent="0.35">
      <c r="A11" s="72" t="s">
        <v>34</v>
      </c>
      <c r="B11" s="73">
        <f>SUM(B4:B10)</f>
        <v>62471.938999999998</v>
      </c>
      <c r="C11" s="73">
        <f t="shared" ref="C11:S11" si="0">SUM(C4:C10)</f>
        <v>70715.882000000012</v>
      </c>
      <c r="D11" s="73">
        <f t="shared" si="0"/>
        <v>79259.747999999992</v>
      </c>
      <c r="E11" s="73">
        <f t="shared" si="0"/>
        <v>87493</v>
      </c>
      <c r="F11" s="73">
        <f t="shared" si="0"/>
        <v>95972.62</v>
      </c>
      <c r="G11" s="73">
        <f t="shared" si="0"/>
        <v>103898.564</v>
      </c>
      <c r="H11" s="73">
        <f t="shared" si="0"/>
        <v>109596.591</v>
      </c>
      <c r="I11" s="73">
        <f t="shared" si="0"/>
        <v>119958.038</v>
      </c>
      <c r="J11" s="73">
        <f t="shared" si="0"/>
        <v>128333.376</v>
      </c>
      <c r="K11" s="73">
        <f t="shared" si="0"/>
        <v>138916</v>
      </c>
      <c r="L11" s="74">
        <f t="shared" si="0"/>
        <v>150336.77100000001</v>
      </c>
      <c r="M11" s="74">
        <f t="shared" si="0"/>
        <v>162709.83999999997</v>
      </c>
      <c r="N11" s="73">
        <f t="shared" si="0"/>
        <v>190289.37499999997</v>
      </c>
      <c r="O11" s="73">
        <f t="shared" si="0"/>
        <v>218945.76</v>
      </c>
      <c r="P11" s="75">
        <f t="shared" si="0"/>
        <v>222717.89800000002</v>
      </c>
      <c r="Q11" s="75">
        <f t="shared" si="0"/>
        <v>248294.592</v>
      </c>
      <c r="R11" s="75">
        <f t="shared" si="0"/>
        <v>212270.31399999998</v>
      </c>
      <c r="S11" s="76">
        <f t="shared" si="0"/>
        <v>223809.40200000003</v>
      </c>
    </row>
    <row r="12" spans="1:21" x14ac:dyDescent="0.35">
      <c r="A12" s="77" t="s">
        <v>35</v>
      </c>
      <c r="B12" s="78"/>
      <c r="C12" s="79">
        <f>C11/B11-1</f>
        <v>0.13196233592173301</v>
      </c>
      <c r="D12" s="79">
        <f t="shared" ref="D12:N12" si="1">D11/C11-1</f>
        <v>0.12081962012437297</v>
      </c>
      <c r="E12" s="79">
        <f t="shared" si="1"/>
        <v>0.10387683796319935</v>
      </c>
      <c r="F12" s="79">
        <f t="shared" si="1"/>
        <v>9.6917696272844633E-2</v>
      </c>
      <c r="G12" s="80">
        <f t="shared" si="1"/>
        <v>8.2585470731131538E-2</v>
      </c>
      <c r="H12" s="79">
        <f t="shared" si="1"/>
        <v>5.4842211293699927E-2</v>
      </c>
      <c r="I12" s="80">
        <f t="shared" si="1"/>
        <v>9.4541690626125385E-2</v>
      </c>
      <c r="J12" s="79">
        <f t="shared" si="1"/>
        <v>6.9818897838259009E-2</v>
      </c>
      <c r="K12" s="79">
        <f t="shared" si="1"/>
        <v>8.2461977778874873E-2</v>
      </c>
      <c r="L12" s="79">
        <f t="shared" si="1"/>
        <v>8.2213503124190179E-2</v>
      </c>
      <c r="M12" s="79">
        <f t="shared" si="1"/>
        <v>8.2302346376722069E-2</v>
      </c>
      <c r="N12" s="79">
        <f t="shared" si="1"/>
        <v>0.16950133439993564</v>
      </c>
      <c r="O12" s="79">
        <f>O11/N11-1</f>
        <v>0.1505937207476773</v>
      </c>
      <c r="P12" s="81">
        <f>P11/O11-1</f>
        <v>1.7228641468096884E-2</v>
      </c>
      <c r="Q12" s="79">
        <f t="shared" ref="Q12:R12" si="2">Q11/P11-1</f>
        <v>0.11483896996908616</v>
      </c>
      <c r="R12" s="79">
        <f t="shared" si="2"/>
        <v>-0.14508684103760106</v>
      </c>
      <c r="S12" s="82">
        <f>S11/R11-1</f>
        <v>5.4360347344660109E-2</v>
      </c>
    </row>
    <row r="13" spans="1:21" x14ac:dyDescent="0.35">
      <c r="A13" s="83" t="s">
        <v>37</v>
      </c>
      <c r="B13" s="84"/>
      <c r="C13" s="84"/>
      <c r="D13" s="84"/>
      <c r="E13" s="84"/>
      <c r="F13" s="85"/>
      <c r="G13" s="84"/>
      <c r="H13" s="84"/>
      <c r="I13" s="84"/>
      <c r="J13" s="84"/>
      <c r="K13" s="84"/>
      <c r="L13" s="86"/>
      <c r="M13" s="84"/>
      <c r="N13" s="84"/>
      <c r="O13" s="84"/>
      <c r="P13" s="84"/>
      <c r="Q13" s="84"/>
      <c r="R13" s="84"/>
      <c r="S13" s="90"/>
    </row>
    <row r="14" spans="1:21" x14ac:dyDescent="0.35">
      <c r="A14" s="20" t="s">
        <v>38</v>
      </c>
      <c r="B14" s="61">
        <v>11636</v>
      </c>
      <c r="C14" s="61">
        <v>12557</v>
      </c>
      <c r="D14" s="61">
        <v>13914</v>
      </c>
      <c r="E14" s="61">
        <v>15281</v>
      </c>
      <c r="F14" s="62">
        <v>16579.91</v>
      </c>
      <c r="G14" s="61">
        <f>[2]EC_SocAss!$N$115/1000</f>
        <v>17748.11037156</v>
      </c>
      <c r="H14" s="61">
        <f>[3]EC!$P$125/1000</f>
        <v>18596.498086929998</v>
      </c>
      <c r="I14" s="61">
        <f>[4]EC!$N$82/1000</f>
        <v>20106.396616299997</v>
      </c>
      <c r="J14" s="61">
        <f>[5]EC!$N$136/1000</f>
        <v>21338.013866269997</v>
      </c>
      <c r="K14" s="61">
        <f>[6]EC!$N$136/1000</f>
        <v>22909.578402380001</v>
      </c>
      <c r="L14" s="63">
        <f>[7]EC!$N$49/1000</f>
        <v>24547.085468521997</v>
      </c>
      <c r="M14" s="61">
        <f>[8]EC!$N$136/1000</f>
        <v>26515.223526249996</v>
      </c>
      <c r="N14" s="61">
        <f>[9]EC!$N$136/1000-2</f>
        <v>30629.9299053</v>
      </c>
      <c r="O14" s="61">
        <f>([10]EC!$N$136+[11]NATIONAL!$B$12)/1000-9</f>
        <v>34212.461862520002</v>
      </c>
      <c r="P14" s="61">
        <f>[12]EC!$N$136/1000+[13]NATIONAL!$B$12/1000</f>
        <v>34249.146742060009</v>
      </c>
      <c r="Q14" s="61">
        <f>[14]Drawings!X286/1000</f>
        <v>36812.415999999997</v>
      </c>
      <c r="R14" s="61">
        <f>$R$23*U14</f>
        <v>31471.418851597955</v>
      </c>
      <c r="S14" s="65">
        <f>$S$23*U14</f>
        <v>33182.216111800102</v>
      </c>
      <c r="U14" s="91">
        <f>Q14/$Q$23</f>
        <v>0.14826104629777839</v>
      </c>
    </row>
    <row r="15" spans="1:21" x14ac:dyDescent="0.35">
      <c r="A15" s="20" t="s">
        <v>39</v>
      </c>
      <c r="B15" s="61">
        <v>4127</v>
      </c>
      <c r="C15" s="61">
        <v>4573</v>
      </c>
      <c r="D15" s="61">
        <v>5055</v>
      </c>
      <c r="E15" s="61">
        <v>5530</v>
      </c>
      <c r="F15" s="62">
        <v>6102.71</v>
      </c>
      <c r="G15" s="61">
        <f>[2]FS_SocAss!$N$115/1000</f>
        <v>6486.8552842400004</v>
      </c>
      <c r="H15" s="61">
        <f>[3]FS!$P$125/1000</f>
        <v>6763.1912627599995</v>
      </c>
      <c r="I15" s="61">
        <f>[4]FS!$N$82/1000</f>
        <v>7228.5071952299995</v>
      </c>
      <c r="J15" s="61">
        <f>[5]FS!$N$136/1000</f>
        <v>7650.4299276799984</v>
      </c>
      <c r="K15" s="61">
        <f>[6]FS!$N$136/1000</f>
        <v>8286.2964955799998</v>
      </c>
      <c r="L15" s="63">
        <f>[7]FS!$N$49/1000</f>
        <v>8950.1682075299996</v>
      </c>
      <c r="M15" s="61">
        <f>[8]FS!$N$136/1000</f>
        <v>9644.0297234299996</v>
      </c>
      <c r="N15" s="61">
        <f>[9]FS!$N$136/1000</f>
        <v>11206.785797290002</v>
      </c>
      <c r="O15" s="61">
        <f>([10]FS!$N$136+[11]NATIONAL!$C$12)/1000</f>
        <v>12746.091459779998</v>
      </c>
      <c r="P15" s="61">
        <f>([12]FS!$N$136+[13]NATIONAL!$C$12)/1000</f>
        <v>12943.503075619999</v>
      </c>
      <c r="Q15" s="61">
        <f>[14]Drawings!X287/1000</f>
        <v>16726.474999999999</v>
      </c>
      <c r="R15" s="61">
        <f t="shared" ref="R15:R22" si="3">$R$23*U15</f>
        <v>14299.683580555591</v>
      </c>
      <c r="S15" s="65">
        <f t="shared" ref="S15:S22" si="4">$S$23*U15</f>
        <v>15077.019346913325</v>
      </c>
      <c r="U15" s="91">
        <f t="shared" ref="U15:U23" si="5">Q15/$Q$23</f>
        <v>6.7365442256591718E-2</v>
      </c>
    </row>
    <row r="16" spans="1:21" x14ac:dyDescent="0.35">
      <c r="A16" s="20" t="s">
        <v>40</v>
      </c>
      <c r="B16" s="61">
        <v>7318</v>
      </c>
      <c r="C16" s="61">
        <v>8289</v>
      </c>
      <c r="D16" s="61">
        <v>9390</v>
      </c>
      <c r="E16" s="61">
        <v>10539</v>
      </c>
      <c r="F16" s="62">
        <v>11828.14</v>
      </c>
      <c r="G16" s="61">
        <f>[2]GT_SocAss!$N$115/1000-41</f>
        <v>13265.10799246</v>
      </c>
      <c r="H16" s="61">
        <f>[3]GT!$P$125/1000</f>
        <v>14777.810571510001</v>
      </c>
      <c r="I16" s="61">
        <f>[4]GT!$N$82/1000</f>
        <v>16432.326079210001</v>
      </c>
      <c r="J16" s="61">
        <f>[5]GT!$N$136/1000</f>
        <v>18082.88244949</v>
      </c>
      <c r="K16" s="61">
        <f>[6]GT!$N$136/1000</f>
        <v>20151.143143970003</v>
      </c>
      <c r="L16" s="63">
        <f>[7]GT!$N$49/1000</f>
        <v>22475.354819509997</v>
      </c>
      <c r="M16" s="61">
        <f>[8]GT!$N$136/1000</f>
        <v>24704.727853870001</v>
      </c>
      <c r="N16" s="61">
        <f>[9]GT!$N$136/1000</f>
        <v>29586.171222860001</v>
      </c>
      <c r="O16" s="61">
        <f>([10]GT!$N$136+[11]NATIONAL!$D$12)/1000</f>
        <v>35666.354948669999</v>
      </c>
      <c r="P16" s="61">
        <f>([12]GT!$N$136+[13]NATIONAL!$D$12)/1000</f>
        <v>36860.624128540003</v>
      </c>
      <c r="Q16" s="61">
        <f>[14]Drawings!X288/1000</f>
        <v>38140.154999999999</v>
      </c>
      <c r="R16" s="61">
        <f t="shared" si="3"/>
        <v>32606.520394365536</v>
      </c>
      <c r="S16" s="65">
        <f t="shared" si="4"/>
        <v>34379.022168703988</v>
      </c>
      <c r="U16" s="91">
        <f t="shared" si="5"/>
        <v>0.15360848052622911</v>
      </c>
    </row>
    <row r="17" spans="1:21" x14ac:dyDescent="0.35">
      <c r="A17" s="20" t="s">
        <v>41</v>
      </c>
      <c r="B17" s="61">
        <v>15105</v>
      </c>
      <c r="C17" s="61">
        <v>17590</v>
      </c>
      <c r="D17" s="61">
        <v>19454</v>
      </c>
      <c r="E17" s="61">
        <v>21307</v>
      </c>
      <c r="F17" s="62">
        <v>23044.84</v>
      </c>
      <c r="G17" s="61">
        <f>[2]KZN_SocAss!$N$115/1000</f>
        <v>24608.438629503005</v>
      </c>
      <c r="H17" s="61">
        <f>[3]KZN!$P$125/1000</f>
        <v>25370.360440310003</v>
      </c>
      <c r="I17" s="61">
        <f>[4]KZN!$N$82/1000</f>
        <v>27551.700110220005</v>
      </c>
      <c r="J17" s="61">
        <f>[5]KZN!$N$136/1000</f>
        <v>29015.217430560002</v>
      </c>
      <c r="K17" s="61">
        <f>[6]KZN!$N$136/1000</f>
        <v>30656.185620729997</v>
      </c>
      <c r="L17" s="63">
        <f>[7]KZN!$N$49/1000</f>
        <v>32599.981247220003</v>
      </c>
      <c r="M17" s="61">
        <f>[8]KZN!$N$136/1000</f>
        <v>34956.196652139995</v>
      </c>
      <c r="N17" s="61">
        <f>[9]KZN!$N$136/1000</f>
        <v>40848.545652409994</v>
      </c>
      <c r="O17" s="61">
        <f>([10]KZN!$N$136+[11]NATIONAL!$E$12)/1000</f>
        <v>46999.303223330004</v>
      </c>
      <c r="P17" s="61">
        <f>([12]KZN!$N$136+[13]NATIONAL!$E$12)/1000-190</f>
        <v>47548.066384940001</v>
      </c>
      <c r="Q17" s="61">
        <f>[14]Drawings!X289/1000</f>
        <v>48065.440999999999</v>
      </c>
      <c r="R17" s="61">
        <f t="shared" si="3"/>
        <v>41091.778002230807</v>
      </c>
      <c r="S17" s="65">
        <f t="shared" si="4"/>
        <v>43325.54132744173</v>
      </c>
      <c r="U17" s="91">
        <f t="shared" si="5"/>
        <v>0.19358231128932521</v>
      </c>
    </row>
    <row r="18" spans="1:21" x14ac:dyDescent="0.35">
      <c r="A18" s="20" t="s">
        <v>42</v>
      </c>
      <c r="B18" s="61">
        <v>8439</v>
      </c>
      <c r="C18" s="61">
        <v>9656</v>
      </c>
      <c r="D18" s="61">
        <v>10855</v>
      </c>
      <c r="E18" s="61">
        <v>11986</v>
      </c>
      <c r="F18" s="62">
        <v>12942.93</v>
      </c>
      <c r="G18" s="61">
        <f>[2]LIM_SocAss!$N$115/1000</f>
        <v>13294.333453019999</v>
      </c>
      <c r="H18" s="61">
        <f>[3]LIM!$P$125/1000</f>
        <v>14267.854759950002</v>
      </c>
      <c r="I18" s="61">
        <f>[4]LIM!$N$82/1000</f>
        <v>15776.9765465</v>
      </c>
      <c r="J18" s="61">
        <f>[5]LIM!$N$136/1000</f>
        <v>16928.639095720002</v>
      </c>
      <c r="K18" s="61">
        <f>[6]LIM!$N$136/1000</f>
        <v>18467.072279379998</v>
      </c>
      <c r="L18" s="63">
        <f>[7]LIM!$N$49/1000</f>
        <v>19970.185519999999</v>
      </c>
      <c r="M18" s="61">
        <f>[8]LIM!$N$136/1000</f>
        <v>21685.380230589999</v>
      </c>
      <c r="N18" s="61">
        <f>[9]LIM!$N$136/1000</f>
        <v>25240.127048459995</v>
      </c>
      <c r="O18" s="61">
        <f>([10]LIM!$N$136+[11]NATIONAL!$F$12)/1000</f>
        <v>29490.185625600003</v>
      </c>
      <c r="P18" s="61">
        <f>([12]LIM!$N$136+[13]NATIONAL!$F$12)/1000</f>
        <v>30194.36320729</v>
      </c>
      <c r="Q18" s="61">
        <f>[14]Drawings!X290/1000</f>
        <v>32292.907999999999</v>
      </c>
      <c r="R18" s="61">
        <f t="shared" si="3"/>
        <v>27607.631990362122</v>
      </c>
      <c r="S18" s="65">
        <f t="shared" si="4"/>
        <v>29108.392454721758</v>
      </c>
      <c r="U18" s="91">
        <f t="shared" si="5"/>
        <v>0.13005884558291145</v>
      </c>
    </row>
    <row r="19" spans="1:21" x14ac:dyDescent="0.35">
      <c r="A19" s="20" t="s">
        <v>43</v>
      </c>
      <c r="B19" s="61">
        <v>4322</v>
      </c>
      <c r="C19" s="61">
        <v>4943</v>
      </c>
      <c r="D19" s="61">
        <v>5567</v>
      </c>
      <c r="E19" s="61">
        <v>6024</v>
      </c>
      <c r="F19" s="62">
        <v>6873.75</v>
      </c>
      <c r="G19" s="61">
        <f>[2]MPU_SocAss!$N$115/1000</f>
        <v>8291.7147861499998</v>
      </c>
      <c r="H19" s="61">
        <f>[3]MPU!$P$125/1000</f>
        <v>8663.8605052900002</v>
      </c>
      <c r="I19" s="61">
        <f>[4]MPU!$N$82/1000</f>
        <v>9349.1530447799978</v>
      </c>
      <c r="J19" s="61">
        <f>[5]MPU!$N$136/1000</f>
        <v>10033.338641119999</v>
      </c>
      <c r="K19" s="61">
        <f>[6]MPU!$N$136/1000+11</f>
        <v>10918.530446799999</v>
      </c>
      <c r="L19" s="63">
        <f>[7]MPU!$N$49/1000</f>
        <v>11855.7725563</v>
      </c>
      <c r="M19" s="61">
        <f>[8]MPU!$N$136/1000</f>
        <v>12877.18878088</v>
      </c>
      <c r="N19" s="61">
        <f>[9]MPU!$N$136/1000</f>
        <v>15002.30610002</v>
      </c>
      <c r="O19" s="61">
        <f>([10]MPU!$N$136+[11]NATIONAL!$G$12)/1000</f>
        <v>17526.942158660004</v>
      </c>
      <c r="P19" s="61">
        <f>([12]MPU!$N$136+[13]NATIONAL!$G$12)/1000</f>
        <v>17916.832590050002</v>
      </c>
      <c r="Q19" s="61">
        <f>[14]Drawings!X291/1000</f>
        <v>21003.735000000001</v>
      </c>
      <c r="R19" s="61">
        <f t="shared" si="3"/>
        <v>17956.369438859103</v>
      </c>
      <c r="S19" s="65">
        <f t="shared" si="4"/>
        <v>18932.483918604521</v>
      </c>
      <c r="U19" s="91">
        <f t="shared" si="5"/>
        <v>8.4591995463195596E-2</v>
      </c>
    </row>
    <row r="20" spans="1:21" x14ac:dyDescent="0.35">
      <c r="A20" s="20" t="s">
        <v>44</v>
      </c>
      <c r="B20" s="61">
        <v>1622</v>
      </c>
      <c r="C20" s="61">
        <v>1963</v>
      </c>
      <c r="D20" s="61">
        <v>2227</v>
      </c>
      <c r="E20" s="61">
        <v>2497</v>
      </c>
      <c r="F20" s="62">
        <v>2765.76</v>
      </c>
      <c r="G20" s="61">
        <f>[2]NC_SocAss!$N$115/1000</f>
        <v>2952.3167739200003</v>
      </c>
      <c r="H20" s="61">
        <f>[3]NC!$P$125/1000</f>
        <v>3165.1986491300004</v>
      </c>
      <c r="I20" s="61">
        <f>[4]NC!$N$82/1000</f>
        <v>3464.7106618299999</v>
      </c>
      <c r="J20" s="61">
        <f>[5]NC!$N$136/1000+10</f>
        <v>3747.0294899099999</v>
      </c>
      <c r="K20" s="61">
        <f>[6]NC!$N$136/1000</f>
        <v>4049.3589742700001</v>
      </c>
      <c r="L20" s="63">
        <f>[7]NC!$N$49/1000+8</f>
        <v>4374.4636257000002</v>
      </c>
      <c r="M20" s="61">
        <f>[8]NC!$N$136/1000</f>
        <v>4684.7561149700005</v>
      </c>
      <c r="N20" s="61">
        <f>[9]NC!$N$136/1000</f>
        <v>5438.6559071800002</v>
      </c>
      <c r="O20" s="61">
        <f>([10]NC!$N$136+[11]NATIONAL!$H$12)/1000</f>
        <v>6014.6869158999989</v>
      </c>
      <c r="P20" s="61">
        <f>([12]NC!$N$136+[13]NATIONAL!$H$12)/1000</f>
        <v>6368.6258847099998</v>
      </c>
      <c r="Q20" s="61">
        <f>[14]Drawings!X292/1000</f>
        <v>10727.407999999999</v>
      </c>
      <c r="R20" s="61">
        <f t="shared" si="3"/>
        <v>9171.0022607585106</v>
      </c>
      <c r="S20" s="65">
        <f t="shared" si="4"/>
        <v>9669.5411291520049</v>
      </c>
      <c r="U20" s="91">
        <f t="shared" si="5"/>
        <v>4.32043562189224E-2</v>
      </c>
    </row>
    <row r="21" spans="1:21" x14ac:dyDescent="0.35">
      <c r="A21" s="20" t="s">
        <v>45</v>
      </c>
      <c r="B21" s="61">
        <v>5187</v>
      </c>
      <c r="C21" s="61">
        <v>5711</v>
      </c>
      <c r="D21" s="61">
        <v>6366</v>
      </c>
      <c r="E21" s="61">
        <v>6869</v>
      </c>
      <c r="F21" s="62">
        <v>7389.57</v>
      </c>
      <c r="G21" s="61">
        <f>[2]NW_SocAss!$N$115/1000</f>
        <v>7940.8915407500008</v>
      </c>
      <c r="H21" s="61">
        <f>[3]NW!$P$125/1000+10</f>
        <v>7950.8678566399994</v>
      </c>
      <c r="I21" s="61">
        <f>[4]NW!$N$82/1000</f>
        <v>8742.4284934799998</v>
      </c>
      <c r="J21" s="61">
        <f>[5]NW!$N$136/1000</f>
        <v>9337.5296837800015</v>
      </c>
      <c r="K21" s="61">
        <f>[6]NW!$N$136/1000</f>
        <v>10074.74902922</v>
      </c>
      <c r="L21" s="63">
        <f>[7]NW!$N$49/1000</f>
        <v>10829.783830159999</v>
      </c>
      <c r="M21" s="61">
        <f>[8]NW!$N$136/1000</f>
        <v>11624.764853949999</v>
      </c>
      <c r="N21" s="61">
        <f>[9]NW!$N$136/1000</f>
        <v>13440.340032320002</v>
      </c>
      <c r="O21" s="61">
        <f>([10]NW!$N$136+[11]NATIONAL!$I$12)/1000</f>
        <v>15440.870385330001</v>
      </c>
      <c r="P21" s="61">
        <f>([12]NW!$N$136+[13]NATIONAL!$I$12)/1000</f>
        <v>15797.867630030003</v>
      </c>
      <c r="Q21" s="61">
        <f>[14]Drawings!X293/1000</f>
        <v>19318.121999999999</v>
      </c>
      <c r="R21" s="61">
        <f t="shared" si="3"/>
        <v>16515.316704241013</v>
      </c>
      <c r="S21" s="65">
        <f t="shared" si="4"/>
        <v>17413.095056790622</v>
      </c>
      <c r="U21" s="91">
        <f t="shared" si="5"/>
        <v>7.7803233024100651E-2</v>
      </c>
    </row>
    <row r="22" spans="1:21" x14ac:dyDescent="0.35">
      <c r="A22" s="66" t="s">
        <v>46</v>
      </c>
      <c r="B22" s="67">
        <v>4716</v>
      </c>
      <c r="C22" s="67">
        <v>5434</v>
      </c>
      <c r="D22" s="67">
        <v>6432</v>
      </c>
      <c r="E22" s="67">
        <v>7460</v>
      </c>
      <c r="F22" s="68">
        <v>8445.7999999999993</v>
      </c>
      <c r="G22" s="67">
        <f>[2]WC_SocAss!$N$115/1000</f>
        <v>9311.1098309669997</v>
      </c>
      <c r="H22" s="67">
        <f>[3]WC!$P$125/1000</f>
        <v>10041.285036559999</v>
      </c>
      <c r="I22" s="67">
        <f>[4]WC!$N$82/1000</f>
        <v>11305.503380060005</v>
      </c>
      <c r="J22" s="67">
        <f>[5]WC!$N$136/1000</f>
        <v>12199.775670649999</v>
      </c>
      <c r="K22" s="67">
        <f>[6]WC!$N$136/1000</f>
        <v>13403.268141710001</v>
      </c>
      <c r="L22" s="69">
        <f>[7]WC!$N$49/1000</f>
        <v>14734.307242390001</v>
      </c>
      <c r="M22" s="67">
        <f>[8]WC!$N$136/1000</f>
        <v>16018.187663109999</v>
      </c>
      <c r="N22" s="67">
        <f>[9]WC!$N$136/1000</f>
        <v>18896.6217144</v>
      </c>
      <c r="O22" s="67">
        <f>([10]WC!$N$136+[11]NATIONAL!$J$12)/1000</f>
        <v>20849.258345909999</v>
      </c>
      <c r="P22" s="67">
        <f>([12]WC!$N$136+[13]NATIONAL!$J$12)/1000</f>
        <v>20839.302796780001</v>
      </c>
      <c r="Q22" s="61">
        <f>[14]Drawings!X294/1000</f>
        <v>25207.932000000001</v>
      </c>
      <c r="R22" s="61">
        <f t="shared" si="3"/>
        <v>21550.592777029342</v>
      </c>
      <c r="S22" s="65">
        <f t="shared" si="4"/>
        <v>22722.09048587198</v>
      </c>
      <c r="U22" s="91">
        <f t="shared" si="5"/>
        <v>0.10152428934094546</v>
      </c>
    </row>
    <row r="23" spans="1:21" x14ac:dyDescent="0.35">
      <c r="A23" s="87" t="s">
        <v>34</v>
      </c>
      <c r="B23" s="88">
        <f>SUM(B14:B22)</f>
        <v>62472</v>
      </c>
      <c r="C23" s="88">
        <f t="shared" ref="C23:F23" si="6">SUM(C14:C22)</f>
        <v>70716</v>
      </c>
      <c r="D23" s="88">
        <f t="shared" si="6"/>
        <v>79260</v>
      </c>
      <c r="E23" s="88">
        <f t="shared" si="6"/>
        <v>87493</v>
      </c>
      <c r="F23" s="88">
        <f t="shared" si="6"/>
        <v>95973.409999999989</v>
      </c>
      <c r="G23" s="88">
        <f t="shared" ref="G23" si="7">SUM(G14:G22)</f>
        <v>103898.87866257</v>
      </c>
      <c r="H23" s="88">
        <f t="shared" ref="H23" si="8">SUM(H14:H22)</f>
        <v>109596.92716908001</v>
      </c>
      <c r="I23" s="88">
        <f t="shared" ref="I23" si="9">SUM(I14:I22)</f>
        <v>119957.70212761</v>
      </c>
      <c r="J23" s="88">
        <f t="shared" ref="J23" si="10">SUM(J14:J22)</f>
        <v>128332.85625518</v>
      </c>
      <c r="K23" s="88">
        <f t="shared" ref="K23" si="11">SUM(K14:K22)</f>
        <v>138916.18253403998</v>
      </c>
      <c r="L23" s="88">
        <f t="shared" ref="L23" si="12">SUM(L14:L22)</f>
        <v>150337.10251733198</v>
      </c>
      <c r="M23" s="88">
        <f t="shared" ref="M23" si="13">SUM(M14:M22)</f>
        <v>162710.45539919002</v>
      </c>
      <c r="N23" s="88">
        <f t="shared" ref="N23" si="14">SUM(N14:N22)</f>
        <v>190289.48338023998</v>
      </c>
      <c r="O23" s="88">
        <f t="shared" ref="O23" si="15">SUM(O14:O22)</f>
        <v>218946.15492570002</v>
      </c>
      <c r="P23" s="88">
        <f t="shared" ref="P23" si="16">SUM(P14:P22)</f>
        <v>222718.33244001999</v>
      </c>
      <c r="Q23" s="88">
        <f t="shared" ref="Q23" si="17">SUM(Q14:Q22)</f>
        <v>248294.592</v>
      </c>
      <c r="R23" s="88">
        <f>R11</f>
        <v>212270.31399999998</v>
      </c>
      <c r="S23" s="89">
        <f>S11</f>
        <v>223809.40200000003</v>
      </c>
      <c r="U23" s="91">
        <f t="shared" si="5"/>
        <v>1</v>
      </c>
    </row>
    <row r="24" spans="1:21" x14ac:dyDescent="0.35">
      <c r="A24" s="51" t="s">
        <v>55</v>
      </c>
    </row>
  </sheetData>
  <mergeCells count="2">
    <mergeCell ref="B3:P3"/>
    <mergeCell ref="Q3:S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56D7B-AFFC-42E2-8493-20E29A15996C}">
  <dimension ref="A1:U28"/>
  <sheetViews>
    <sheetView zoomScaleNormal="100" workbookViewId="0">
      <selection activeCell="J35" sqref="J35"/>
    </sheetView>
  </sheetViews>
  <sheetFormatPr defaultRowHeight="14.5" x14ac:dyDescent="0.35"/>
  <cols>
    <col min="1" max="1" width="16.54296875" customWidth="1"/>
    <col min="2" max="19" width="7.6328125" customWidth="1"/>
    <col min="21" max="21" width="0" hidden="1" customWidth="1"/>
    <col min="22" max="22" width="11.453125" customWidth="1"/>
  </cols>
  <sheetData>
    <row r="1" spans="1:19" x14ac:dyDescent="0.35">
      <c r="A1" s="1" t="s">
        <v>0</v>
      </c>
      <c r="B1" s="2"/>
      <c r="C1" s="2"/>
      <c r="D1" s="2"/>
      <c r="E1" s="2"/>
      <c r="F1" s="3"/>
      <c r="G1" s="3"/>
      <c r="H1" s="3"/>
      <c r="I1" s="4"/>
      <c r="J1" s="5"/>
      <c r="K1" s="5"/>
      <c r="L1" s="5"/>
      <c r="M1" s="5"/>
      <c r="N1" s="5"/>
      <c r="O1" s="5"/>
      <c r="P1" s="5"/>
      <c r="Q1" s="5"/>
      <c r="R1" s="5"/>
      <c r="S1" s="6"/>
    </row>
    <row r="2" spans="1:19" x14ac:dyDescent="0.35">
      <c r="A2" s="7"/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10" t="s">
        <v>16</v>
      </c>
      <c r="R2" s="10" t="s">
        <v>17</v>
      </c>
      <c r="S2" s="11" t="s">
        <v>18</v>
      </c>
    </row>
    <row r="3" spans="1:19" x14ac:dyDescent="0.35">
      <c r="A3" s="12" t="s">
        <v>52</v>
      </c>
      <c r="B3" s="107" t="s">
        <v>19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9"/>
      <c r="Q3" s="110" t="s">
        <v>20</v>
      </c>
      <c r="R3" s="111"/>
      <c r="S3" s="112"/>
    </row>
    <row r="4" spans="1:19" x14ac:dyDescent="0.35">
      <c r="A4" s="13" t="s">
        <v>21</v>
      </c>
      <c r="B4" s="14"/>
      <c r="C4" s="15"/>
      <c r="D4" s="14"/>
      <c r="E4" s="15"/>
      <c r="F4" s="16"/>
      <c r="G4" s="17"/>
      <c r="H4" s="18"/>
      <c r="I4" s="18"/>
      <c r="J4" s="18"/>
      <c r="K4" s="18"/>
      <c r="L4" s="18"/>
      <c r="M4" s="18"/>
      <c r="N4" s="18"/>
      <c r="O4" s="18"/>
      <c r="P4" s="17"/>
      <c r="Q4" s="17"/>
      <c r="R4" s="18"/>
      <c r="S4" s="19"/>
    </row>
    <row r="5" spans="1:19" x14ac:dyDescent="0.35">
      <c r="A5" s="20" t="s">
        <v>53</v>
      </c>
      <c r="B5" s="21">
        <f>2229.55+1.924</f>
        <v>2231.4740000000002</v>
      </c>
      <c r="C5" s="22">
        <f>2390.543+1.5</f>
        <v>2392.0430000000001</v>
      </c>
      <c r="D5" s="22">
        <f>2546.657+1.216</f>
        <v>2547.873</v>
      </c>
      <c r="E5" s="22">
        <f>2678.554+0.958</f>
        <v>2679.5120000000002</v>
      </c>
      <c r="F5" s="23">
        <f>2750.857+0.753</f>
        <v>2751.61</v>
      </c>
      <c r="G5" s="22">
        <f>2873.197+0.587</f>
        <v>2873.7840000000001</v>
      </c>
      <c r="H5" s="24">
        <f>2969.933+0.429</f>
        <v>2970.3620000000001</v>
      </c>
      <c r="I5" s="24">
        <f>3086.851+0.326</f>
        <v>3087.1770000000001</v>
      </c>
      <c r="J5" s="24">
        <f>3194.087+0.245</f>
        <v>3194.3319999999999</v>
      </c>
      <c r="K5" s="24">
        <f>3302.202+0.176</f>
        <v>3302.3780000000002</v>
      </c>
      <c r="L5" s="24">
        <f>3423.337+0.134</f>
        <v>3423.471</v>
      </c>
      <c r="M5" s="24">
        <f>3553.317+0.092</f>
        <v>3553.4090000000001</v>
      </c>
      <c r="N5" s="24">
        <f>3676.791+0.062</f>
        <v>3676.8530000000001</v>
      </c>
      <c r="O5" s="24">
        <f>3722.675+0.04</f>
        <v>3722.7150000000001</v>
      </c>
      <c r="P5" s="22">
        <f>3774.604+0.25</f>
        <v>3774.8539999999998</v>
      </c>
      <c r="Q5" s="22">
        <f>3834.84199610009+0.018</f>
        <v>3834.85999610009</v>
      </c>
      <c r="R5" s="24">
        <f>3922.1358562798+0.012</f>
        <v>3922.1478562798002</v>
      </c>
      <c r="S5" s="25">
        <f>4011.70935470752+0.008</f>
        <v>4011.7173547075199</v>
      </c>
    </row>
    <row r="6" spans="1:19" x14ac:dyDescent="0.35">
      <c r="A6" s="20" t="s">
        <v>22</v>
      </c>
      <c r="B6" s="21">
        <v>1408.4559999999999</v>
      </c>
      <c r="C6" s="22">
        <v>1286.883</v>
      </c>
      <c r="D6" s="22">
        <v>1264.4770000000001</v>
      </c>
      <c r="E6" s="22">
        <v>1200.8979999999999</v>
      </c>
      <c r="F6" s="23">
        <v>1198.1310000000001</v>
      </c>
      <c r="G6" s="22">
        <v>1164.192</v>
      </c>
      <c r="H6" s="24">
        <v>1120.4190000000001</v>
      </c>
      <c r="I6" s="24">
        <v>1112.663</v>
      </c>
      <c r="J6" s="24">
        <v>1085.5409999999999</v>
      </c>
      <c r="K6" s="24">
        <v>1067.1759999999999</v>
      </c>
      <c r="L6" s="24">
        <v>1061.866</v>
      </c>
      <c r="M6" s="24">
        <v>1048.2550000000001</v>
      </c>
      <c r="N6" s="24">
        <v>1042.0250000000001</v>
      </c>
      <c r="O6" s="24">
        <v>997.75199999999995</v>
      </c>
      <c r="P6" s="24">
        <v>1004.798</v>
      </c>
      <c r="Q6" s="22">
        <v>1043.1942257062797</v>
      </c>
      <c r="R6" s="24">
        <v>1046.9110925553243</v>
      </c>
      <c r="S6" s="25">
        <v>1053.4507279168406</v>
      </c>
    </row>
    <row r="7" spans="1:19" x14ac:dyDescent="0.35">
      <c r="A7" s="20" t="s">
        <v>23</v>
      </c>
      <c r="B7" s="21">
        <v>454.19900000000001</v>
      </c>
      <c r="C7" s="22">
        <v>474.75900000000001</v>
      </c>
      <c r="D7" s="21">
        <v>510.76</v>
      </c>
      <c r="E7" s="22">
        <v>512.87400000000002</v>
      </c>
      <c r="F7" s="23">
        <f>536.747</f>
        <v>536.74699999999996</v>
      </c>
      <c r="G7" s="22">
        <v>532.15899999999999</v>
      </c>
      <c r="H7" s="24">
        <v>512.05499999999995</v>
      </c>
      <c r="I7" s="24">
        <v>499.774</v>
      </c>
      <c r="J7" s="24">
        <v>470.01499999999999</v>
      </c>
      <c r="K7" s="24">
        <v>440.29500000000002</v>
      </c>
      <c r="L7" s="24">
        <v>416.01600000000002</v>
      </c>
      <c r="M7" s="24">
        <v>386.01900000000001</v>
      </c>
      <c r="N7" s="24">
        <v>355.60899999999998</v>
      </c>
      <c r="O7" s="24">
        <v>309.45299999999997</v>
      </c>
      <c r="P7" s="24">
        <v>294.03100000000001</v>
      </c>
      <c r="Q7" s="22">
        <v>234.44666941890969</v>
      </c>
      <c r="R7" s="24">
        <v>197.36339942706664</v>
      </c>
      <c r="S7" s="25">
        <v>164.74528651867951</v>
      </c>
    </row>
    <row r="8" spans="1:19" x14ac:dyDescent="0.35">
      <c r="A8" s="20" t="s">
        <v>24</v>
      </c>
      <c r="B8" s="21">
        <v>102.292</v>
      </c>
      <c r="C8" s="22">
        <v>107.065</v>
      </c>
      <c r="D8" s="21">
        <v>110.73099999999999</v>
      </c>
      <c r="E8" s="22">
        <v>112.185</v>
      </c>
      <c r="F8" s="23">
        <v>114.99299999999999</v>
      </c>
      <c r="G8" s="22">
        <v>120.268</v>
      </c>
      <c r="H8" s="24">
        <v>120.63200000000001</v>
      </c>
      <c r="I8" s="24">
        <v>126.777</v>
      </c>
      <c r="J8" s="24">
        <v>131.04</v>
      </c>
      <c r="K8" s="24">
        <v>144.952</v>
      </c>
      <c r="L8" s="24">
        <v>147.69399999999999</v>
      </c>
      <c r="M8" s="24">
        <v>150.001</v>
      </c>
      <c r="N8" s="24">
        <v>154.73500000000001</v>
      </c>
      <c r="O8" s="24">
        <v>150.15100000000001</v>
      </c>
      <c r="P8" s="24">
        <v>153.768</v>
      </c>
      <c r="Q8" s="22">
        <v>159.38374666619455</v>
      </c>
      <c r="R8" s="24">
        <v>164.35470561225148</v>
      </c>
      <c r="S8" s="25">
        <v>169.49869793812084</v>
      </c>
    </row>
    <row r="9" spans="1:19" x14ac:dyDescent="0.35">
      <c r="A9" s="20" t="s">
        <v>25</v>
      </c>
      <c r="B9" s="21">
        <v>8189.9750000000004</v>
      </c>
      <c r="C9" s="22">
        <v>8765.3539999999994</v>
      </c>
      <c r="D9" s="21">
        <v>9570.2870000000003</v>
      </c>
      <c r="E9" s="22">
        <v>10371.950000000001</v>
      </c>
      <c r="F9" s="23">
        <v>10927.731</v>
      </c>
      <c r="G9" s="22">
        <v>11341.987999999999</v>
      </c>
      <c r="H9" s="22">
        <v>11125.946</v>
      </c>
      <c r="I9" s="24">
        <v>11703.165000000001</v>
      </c>
      <c r="J9" s="24">
        <v>11972.9</v>
      </c>
      <c r="K9" s="24">
        <v>12081.375</v>
      </c>
      <c r="L9" s="24">
        <v>12269.084000000001</v>
      </c>
      <c r="M9" s="24">
        <v>12452.072</v>
      </c>
      <c r="N9" s="24">
        <v>12787.448</v>
      </c>
      <c r="O9" s="24">
        <v>12992.589</v>
      </c>
      <c r="P9" s="24">
        <v>13166.342000000001</v>
      </c>
      <c r="Q9" s="22">
        <v>13407.732581714616</v>
      </c>
      <c r="R9" s="24">
        <v>13632.447025738296</v>
      </c>
      <c r="S9" s="25">
        <v>13863.287110275038</v>
      </c>
    </row>
    <row r="10" spans="1:19" x14ac:dyDescent="0.35">
      <c r="A10" s="26" t="s">
        <v>26</v>
      </c>
      <c r="B10" s="27">
        <f t="shared" ref="B10:S10" si="0">SUM(B5:B9)</f>
        <v>12386.396000000001</v>
      </c>
      <c r="C10" s="28">
        <f t="shared" si="0"/>
        <v>13026.103999999999</v>
      </c>
      <c r="D10" s="27">
        <f t="shared" si="0"/>
        <v>14004.128000000001</v>
      </c>
      <c r="E10" s="28">
        <f t="shared" si="0"/>
        <v>14877.419000000002</v>
      </c>
      <c r="F10" s="29">
        <f t="shared" si="0"/>
        <v>15529.212</v>
      </c>
      <c r="G10" s="28">
        <f t="shared" si="0"/>
        <v>16032.391</v>
      </c>
      <c r="H10" s="30">
        <f t="shared" si="0"/>
        <v>15849.414000000001</v>
      </c>
      <c r="I10" s="30">
        <f t="shared" si="0"/>
        <v>16529.556</v>
      </c>
      <c r="J10" s="30">
        <f t="shared" si="0"/>
        <v>16853.828000000001</v>
      </c>
      <c r="K10" s="30">
        <f t="shared" si="0"/>
        <v>17036.175999999999</v>
      </c>
      <c r="L10" s="30">
        <f t="shared" si="0"/>
        <v>17318.131000000001</v>
      </c>
      <c r="M10" s="30">
        <f t="shared" si="0"/>
        <v>17589.756000000001</v>
      </c>
      <c r="N10" s="30">
        <f t="shared" si="0"/>
        <v>18016.670000000002</v>
      </c>
      <c r="O10" s="30">
        <f t="shared" si="0"/>
        <v>18172.66</v>
      </c>
      <c r="P10" s="28">
        <f t="shared" si="0"/>
        <v>18393.793000000001</v>
      </c>
      <c r="Q10" s="28">
        <f t="shared" si="0"/>
        <v>18679.617219606087</v>
      </c>
      <c r="R10" s="30">
        <f t="shared" si="0"/>
        <v>18963.224079612737</v>
      </c>
      <c r="S10" s="31">
        <f t="shared" si="0"/>
        <v>19262.6991773562</v>
      </c>
    </row>
    <row r="11" spans="1:19" x14ac:dyDescent="0.35">
      <c r="A11" s="32" t="s">
        <v>54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f>'[15]SRD Statistics 201603 to 202203'!C17/1000</f>
        <v>580.38</v>
      </c>
      <c r="L11" s="33">
        <f>'[15]SRD Statistics 201603 to 202203'!D17/1000</f>
        <v>572.40599999999995</v>
      </c>
      <c r="M11" s="33">
        <f>'[15]SRD Statistics 201603 to 202203'!E17/1000</f>
        <v>443.68700000000001</v>
      </c>
      <c r="N11" s="33">
        <f>'[15]SRD Statistics 201603 to 202203'!F17/1000</f>
        <v>344.48200000000003</v>
      </c>
      <c r="O11" s="34">
        <f>('[15]SRD Statistics 201603 to 202203'!$G$17+'a&amp;b(ii)SRD'!G12)/1000</f>
        <v>5854.4968181818185</v>
      </c>
      <c r="P11" s="35">
        <f>('[15]SRD Statistics 201603 to 202203'!$H$17+'a&amp;b(ii)SRD'!I12)/1000</f>
        <v>10287.955</v>
      </c>
      <c r="Q11" s="35">
        <v>10480</v>
      </c>
      <c r="R11" s="34">
        <v>0</v>
      </c>
      <c r="S11" s="36">
        <v>0</v>
      </c>
    </row>
    <row r="12" spans="1:19" x14ac:dyDescent="0.35">
      <c r="A12" s="26" t="s">
        <v>27</v>
      </c>
      <c r="B12" s="27">
        <f>SUM(B10:B11)</f>
        <v>12386.396000000001</v>
      </c>
      <c r="C12" s="28">
        <f t="shared" ref="C12:S12" si="1">SUM(C10:C11)</f>
        <v>13026.103999999999</v>
      </c>
      <c r="D12" s="27">
        <f t="shared" si="1"/>
        <v>14004.128000000001</v>
      </c>
      <c r="E12" s="28">
        <f t="shared" si="1"/>
        <v>14877.419000000002</v>
      </c>
      <c r="F12" s="29">
        <f t="shared" si="1"/>
        <v>15529.212</v>
      </c>
      <c r="G12" s="28">
        <f t="shared" si="1"/>
        <v>16032.391</v>
      </c>
      <c r="H12" s="30">
        <f t="shared" si="1"/>
        <v>15849.414000000001</v>
      </c>
      <c r="I12" s="30">
        <f t="shared" si="1"/>
        <v>16529.556</v>
      </c>
      <c r="J12" s="30">
        <f t="shared" si="1"/>
        <v>16853.828000000001</v>
      </c>
      <c r="K12" s="30">
        <f t="shared" si="1"/>
        <v>17616.556</v>
      </c>
      <c r="L12" s="30">
        <f t="shared" si="1"/>
        <v>17890.537</v>
      </c>
      <c r="M12" s="30">
        <f t="shared" si="1"/>
        <v>18033.443000000003</v>
      </c>
      <c r="N12" s="30">
        <f t="shared" si="1"/>
        <v>18361.152000000002</v>
      </c>
      <c r="O12" s="30">
        <f t="shared" si="1"/>
        <v>24027.156818181818</v>
      </c>
      <c r="P12" s="28">
        <f t="shared" si="1"/>
        <v>28681.748</v>
      </c>
      <c r="Q12" s="28">
        <f t="shared" si="1"/>
        <v>29159.617219606087</v>
      </c>
      <c r="R12" s="30">
        <f t="shared" si="1"/>
        <v>18963.224079612737</v>
      </c>
      <c r="S12" s="31">
        <f t="shared" si="1"/>
        <v>19262.6991773562</v>
      </c>
    </row>
    <row r="13" spans="1:19" x14ac:dyDescent="0.35">
      <c r="A13" s="32" t="s">
        <v>28</v>
      </c>
      <c r="B13" s="33">
        <v>37.343000000000004</v>
      </c>
      <c r="C13" s="35">
        <v>46.069000000000003</v>
      </c>
      <c r="D13" s="33">
        <v>53.237000000000002</v>
      </c>
      <c r="E13" s="35">
        <v>58.412999999999997</v>
      </c>
      <c r="F13" s="37">
        <v>66.492999999999995</v>
      </c>
      <c r="G13" s="35">
        <v>73.718999999999994</v>
      </c>
      <c r="H13" s="34">
        <v>83.058999999999997</v>
      </c>
      <c r="I13" s="34">
        <v>113.087</v>
      </c>
      <c r="J13" s="34">
        <v>137.80600000000001</v>
      </c>
      <c r="K13" s="34">
        <v>164.34899999999999</v>
      </c>
      <c r="L13" s="34">
        <v>192.09100000000001</v>
      </c>
      <c r="M13" s="34">
        <v>221.989</v>
      </c>
      <c r="N13" s="34">
        <v>273.92200000000003</v>
      </c>
      <c r="O13" s="34">
        <v>267.91199999999998</v>
      </c>
      <c r="P13" s="35">
        <v>283.77100000000002</v>
      </c>
      <c r="Q13" s="35">
        <v>289.34199999999998</v>
      </c>
      <c r="R13" s="34">
        <v>299.46899999999999</v>
      </c>
      <c r="S13" s="36">
        <v>309.95100000000002</v>
      </c>
    </row>
    <row r="14" spans="1:19" x14ac:dyDescent="0.35">
      <c r="A14" s="38" t="s">
        <v>29</v>
      </c>
      <c r="B14" s="39"/>
      <c r="C14" s="40">
        <f>C10/B10-1</f>
        <v>5.1646015515731891E-2</v>
      </c>
      <c r="D14" s="41">
        <f t="shared" ref="D14:S14" si="2">D10/C10-1</f>
        <v>7.5081851027751778E-2</v>
      </c>
      <c r="E14" s="40">
        <f t="shared" si="2"/>
        <v>6.2359541415217157E-2</v>
      </c>
      <c r="F14" s="42">
        <f t="shared" si="2"/>
        <v>4.3810892198438367E-2</v>
      </c>
      <c r="G14" s="40">
        <f t="shared" si="2"/>
        <v>3.2402094839068418E-2</v>
      </c>
      <c r="H14" s="43">
        <f t="shared" si="2"/>
        <v>-1.1412957680485669E-2</v>
      </c>
      <c r="I14" s="43">
        <f t="shared" si="2"/>
        <v>4.2912753745974364E-2</v>
      </c>
      <c r="J14" s="43">
        <f t="shared" si="2"/>
        <v>1.9617707819859165E-2</v>
      </c>
      <c r="K14" s="43">
        <f t="shared" si="2"/>
        <v>1.0819381804537009E-2</v>
      </c>
      <c r="L14" s="43">
        <f t="shared" si="2"/>
        <v>1.6550369049955993E-2</v>
      </c>
      <c r="M14" s="43">
        <f t="shared" si="2"/>
        <v>1.5684429226225483E-2</v>
      </c>
      <c r="N14" s="43">
        <f t="shared" si="2"/>
        <v>2.4270603867387441E-2</v>
      </c>
      <c r="O14" s="43">
        <f t="shared" si="2"/>
        <v>8.6580927552093456E-3</v>
      </c>
      <c r="P14" s="40">
        <f>P10/O10-1</f>
        <v>1.216844424536645E-2</v>
      </c>
      <c r="Q14" s="40">
        <f t="shared" si="2"/>
        <v>1.5539166913865143E-2</v>
      </c>
      <c r="R14" s="43">
        <f t="shared" si="2"/>
        <v>1.5182691201454546E-2</v>
      </c>
      <c r="S14" s="44">
        <f t="shared" si="2"/>
        <v>1.5792414648805764E-2</v>
      </c>
    </row>
    <row r="15" spans="1:19" x14ac:dyDescent="0.35">
      <c r="A15" s="45" t="s">
        <v>30</v>
      </c>
      <c r="B15" s="46"/>
      <c r="C15" s="47">
        <f>C12/B12-1</f>
        <v>5.1646015515731891E-2</v>
      </c>
      <c r="D15" s="47">
        <f t="shared" ref="D15:S15" si="3">D12/C12-1</f>
        <v>7.5081851027751778E-2</v>
      </c>
      <c r="E15" s="47">
        <f t="shared" si="3"/>
        <v>6.2359541415217157E-2</v>
      </c>
      <c r="F15" s="47">
        <f t="shared" si="3"/>
        <v>4.3810892198438367E-2</v>
      </c>
      <c r="G15" s="47">
        <f t="shared" si="3"/>
        <v>3.2402094839068418E-2</v>
      </c>
      <c r="H15" s="47">
        <f t="shared" si="3"/>
        <v>-1.1412957680485669E-2</v>
      </c>
      <c r="I15" s="47">
        <f t="shared" si="3"/>
        <v>4.2912753745974364E-2</v>
      </c>
      <c r="J15" s="47">
        <f t="shared" si="3"/>
        <v>1.9617707819859165E-2</v>
      </c>
      <c r="K15" s="47">
        <f t="shared" si="3"/>
        <v>4.5255475491977171E-2</v>
      </c>
      <c r="L15" s="47">
        <f t="shared" si="3"/>
        <v>1.5552472344764867E-2</v>
      </c>
      <c r="M15" s="47">
        <f t="shared" si="3"/>
        <v>7.9877982421658889E-3</v>
      </c>
      <c r="N15" s="47">
        <f t="shared" si="3"/>
        <v>1.8172292445763016E-2</v>
      </c>
      <c r="O15" s="47">
        <f t="shared" si="3"/>
        <v>0.30858656462197009</v>
      </c>
      <c r="P15" s="47">
        <f>P12/O12-1</f>
        <v>0.19372209608654001</v>
      </c>
      <c r="Q15" s="47">
        <f t="shared" si="3"/>
        <v>1.6661091214039248E-2</v>
      </c>
      <c r="R15" s="48">
        <f t="shared" si="3"/>
        <v>-0.34967513678943596</v>
      </c>
      <c r="S15" s="49">
        <f t="shared" si="3"/>
        <v>1.5792414648805764E-2</v>
      </c>
    </row>
    <row r="16" spans="1:19" x14ac:dyDescent="0.35">
      <c r="A16" s="83" t="s">
        <v>37</v>
      </c>
      <c r="B16" s="84"/>
      <c r="C16" s="84"/>
      <c r="D16" s="84"/>
      <c r="E16" s="84"/>
      <c r="F16" s="85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90"/>
    </row>
    <row r="17" spans="1:21" x14ac:dyDescent="0.35">
      <c r="A17" s="20" t="s">
        <v>38</v>
      </c>
      <c r="B17" s="61">
        <v>2228.201</v>
      </c>
      <c r="C17" s="61">
        <f>2325.456</f>
        <v>2325.4560000000001</v>
      </c>
      <c r="D17" s="61">
        <f>2466.355-7.134</f>
        <v>2459.221</v>
      </c>
      <c r="E17" s="61">
        <f>2585.593-7.418</f>
        <v>2578.1749999999997</v>
      </c>
      <c r="F17" s="62">
        <f>SUM([16]EC_SocAss!$M$185:$M$190,[16]EC_SocAss!$M$192)/1000</f>
        <v>2655.8310000000001</v>
      </c>
      <c r="G17" s="61">
        <f>2684.118-9.545</f>
        <v>2674.5729999999999</v>
      </c>
      <c r="H17" s="61">
        <f>2620.284-12.145</f>
        <v>2608.1390000000001</v>
      </c>
      <c r="I17" s="61">
        <f>2718.472-16.391</f>
        <v>2702.0810000000001</v>
      </c>
      <c r="J17" s="61">
        <f>2742.505-18.671</f>
        <v>2723.8340000000003</v>
      </c>
      <c r="K17" s="61">
        <f>2754.621-20.54</f>
        <v>2734.0810000000001</v>
      </c>
      <c r="L17" s="61">
        <f>2785.534-22.013</f>
        <v>2763.5210000000002</v>
      </c>
      <c r="M17" s="61">
        <f>2811.247-25.214</f>
        <v>2786.0329999999999</v>
      </c>
      <c r="N17" s="61">
        <f>2853.667-32.296</f>
        <v>2821.3710000000001</v>
      </c>
      <c r="O17" s="61">
        <f>2849.184-32.528</f>
        <v>2816.6560000000004</v>
      </c>
      <c r="P17" s="61">
        <f>2869.926-36.422</f>
        <v>2833.5039999999999</v>
      </c>
      <c r="Q17" s="61">
        <f>$Q$26*U17</f>
        <v>2877.5694911516202</v>
      </c>
      <c r="R17" s="61">
        <f>$R$26*U17</f>
        <v>2921.2587401465016</v>
      </c>
      <c r="S17" s="65">
        <f>$S$26*U17</f>
        <v>2967.3924694673433</v>
      </c>
      <c r="U17" s="91">
        <f>P17/$P$26</f>
        <v>0.15404863265245763</v>
      </c>
    </row>
    <row r="18" spans="1:21" x14ac:dyDescent="0.35">
      <c r="A18" s="20" t="s">
        <v>39</v>
      </c>
      <c r="B18" s="61">
        <v>752.76300000000003</v>
      </c>
      <c r="C18" s="61">
        <f>752.694</f>
        <v>752.69399999999996</v>
      </c>
      <c r="D18" s="61">
        <f>828.399-0.842</f>
        <v>827.55700000000002</v>
      </c>
      <c r="E18" s="61">
        <f>890.886-0.941</f>
        <v>889.94499999999994</v>
      </c>
      <c r="F18" s="62">
        <f>SUM([16]FS_SocAss!$M$185:$M$190,[16]FS_SocAss!$M$192)/1000</f>
        <v>927.14300000000003</v>
      </c>
      <c r="G18" s="61">
        <f>943.876-1.199</f>
        <v>942.67700000000002</v>
      </c>
      <c r="H18" s="61">
        <f>934.766-1.543</f>
        <v>933.22299999999996</v>
      </c>
      <c r="I18" s="61">
        <f>960.774-2.095</f>
        <v>958.67899999999997</v>
      </c>
      <c r="J18" s="61">
        <f>976.62-2.777</f>
        <v>973.84299999999996</v>
      </c>
      <c r="K18" s="61">
        <f>989.959-4.17</f>
        <v>985.78899999999999</v>
      </c>
      <c r="L18" s="61">
        <f>1005.17-5.758</f>
        <v>999.41199999999992</v>
      </c>
      <c r="M18" s="61">
        <f>1017.308-6.561</f>
        <v>1010.747</v>
      </c>
      <c r="N18" s="61">
        <f>1038.936-9.904</f>
        <v>1029.0319999999999</v>
      </c>
      <c r="O18" s="61">
        <f>1040.837-10.162</f>
        <v>1030.675</v>
      </c>
      <c r="P18" s="61">
        <f>1048.401-11.673</f>
        <v>1036.7280000000001</v>
      </c>
      <c r="Q18" s="61">
        <f t="shared" ref="Q18:Q25" si="4">$Q$26*U18</f>
        <v>1052.8507683146511</v>
      </c>
      <c r="R18" s="61">
        <f t="shared" ref="R18:R25" si="5">$R$26*U18</f>
        <v>1068.8358764111865</v>
      </c>
      <c r="S18" s="65">
        <f t="shared" ref="S18:S25" si="6">$S$26*U18</f>
        <v>1085.7153757629917</v>
      </c>
      <c r="U18" s="91">
        <f t="shared" ref="U18:U26" si="7">P18/$P$26</f>
        <v>5.6363615803089434E-2</v>
      </c>
    </row>
    <row r="19" spans="1:21" x14ac:dyDescent="0.35">
      <c r="A19" s="20" t="s">
        <v>40</v>
      </c>
      <c r="B19" s="61">
        <v>1450.009</v>
      </c>
      <c r="C19" s="61">
        <f>1530.018</f>
        <v>1530.018</v>
      </c>
      <c r="D19" s="61">
        <f>1684.664-0.815</f>
        <v>1683.8489999999999</v>
      </c>
      <c r="E19" s="61">
        <f>1825.491-1.006</f>
        <v>1824.4849999999999</v>
      </c>
      <c r="F19" s="62">
        <f>SUM([16]GT_SocAss!$M$185:$M$190,[16]GT_SocAss!$M$192)/1000</f>
        <v>1947.105</v>
      </c>
      <c r="G19" s="61">
        <f>2206.202-1.655</f>
        <v>2204.547</v>
      </c>
      <c r="H19" s="61">
        <f>2184.193-2.168</f>
        <v>2182.0250000000001</v>
      </c>
      <c r="I19" s="61">
        <f>2317.903-2.989</f>
        <v>2314.9139999999998</v>
      </c>
      <c r="J19" s="61">
        <f>2426.699-4.358</f>
        <v>2422.3409999999999</v>
      </c>
      <c r="K19" s="61">
        <f>2513.193-5.466</f>
        <v>2507.7270000000003</v>
      </c>
      <c r="L19" s="61">
        <f>2612.513-6.585</f>
        <v>2605.9279999999999</v>
      </c>
      <c r="M19" s="61">
        <f>2677.145-7.286</f>
        <v>2669.8589999999999</v>
      </c>
      <c r="N19" s="61">
        <f>2796.471-9.105</f>
        <v>2787.366</v>
      </c>
      <c r="O19" s="61">
        <f>2847.82-9.77</f>
        <v>2838.05</v>
      </c>
      <c r="P19" s="61">
        <f>2906.052-11.366</f>
        <v>2894.6860000000001</v>
      </c>
      <c r="Q19" s="61">
        <f t="shared" si="4"/>
        <v>2939.7029685025041</v>
      </c>
      <c r="R19" s="61">
        <f t="shared" si="5"/>
        <v>2984.3355708972767</v>
      </c>
      <c r="S19" s="65">
        <f t="shared" si="6"/>
        <v>3031.465435684067</v>
      </c>
      <c r="U19" s="91">
        <f t="shared" si="7"/>
        <v>0.15737490409691041</v>
      </c>
    </row>
    <row r="20" spans="1:21" x14ac:dyDescent="0.35">
      <c r="A20" s="20" t="s">
        <v>41</v>
      </c>
      <c r="B20" s="61">
        <v>3119.502</v>
      </c>
      <c r="C20" s="61">
        <f>3302.953</f>
        <v>3302.953</v>
      </c>
      <c r="D20" s="61">
        <f>3538.779-23.029</f>
        <v>3515.75</v>
      </c>
      <c r="E20" s="61">
        <f>3710.581-25.687</f>
        <v>3684.8940000000002</v>
      </c>
      <c r="F20" s="62">
        <f>SUM([16]KZN_SocAss!$M$185:$M$190,[16]KZN_SocAss!$M$192)/1000</f>
        <v>3802.326</v>
      </c>
      <c r="G20" s="61">
        <f>3849.979-29.19</f>
        <v>3820.7889999999998</v>
      </c>
      <c r="H20" s="61">
        <f>3761.662-30.652</f>
        <v>3731.0099999999998</v>
      </c>
      <c r="I20" s="61">
        <f>3886.115-39.333</f>
        <v>3846.7819999999997</v>
      </c>
      <c r="J20" s="61">
        <f>3918.463-47.109</f>
        <v>3871.3540000000003</v>
      </c>
      <c r="K20" s="61">
        <f>3878.217-52.484</f>
        <v>3825.7330000000002</v>
      </c>
      <c r="L20" s="61">
        <f>3887.365-56.314</f>
        <v>3831.0509999999999</v>
      </c>
      <c r="M20" s="61">
        <f>3953.517-65.674</f>
        <v>3887.8429999999998</v>
      </c>
      <c r="N20" s="61">
        <f>4056.302-82.783</f>
        <v>3973.5190000000002</v>
      </c>
      <c r="O20" s="61">
        <f>4065.512-78.651</f>
        <v>3986.8610000000003</v>
      </c>
      <c r="P20" s="61">
        <f>4110.241-81.766</f>
        <v>4028.4749999999999</v>
      </c>
      <c r="Q20" s="61">
        <f t="shared" si="4"/>
        <v>4091.1241896489378</v>
      </c>
      <c r="R20" s="61">
        <f t="shared" si="5"/>
        <v>4153.2384648871775</v>
      </c>
      <c r="S20" s="65">
        <f t="shared" si="6"/>
        <v>4218.8281288600456</v>
      </c>
      <c r="U20" s="91">
        <f t="shared" si="7"/>
        <v>0.21901541886816087</v>
      </c>
    </row>
    <row r="21" spans="1:21" x14ac:dyDescent="0.35">
      <c r="A21" s="20" t="s">
        <v>42</v>
      </c>
      <c r="B21" s="61">
        <v>1802.325</v>
      </c>
      <c r="C21" s="61">
        <f>1905.435</f>
        <v>1905.4349999999999</v>
      </c>
      <c r="D21" s="61">
        <f>2031.086-7.014</f>
        <v>2024.0720000000001</v>
      </c>
      <c r="E21" s="61">
        <f>2162.624-6.885</f>
        <v>2155.7389999999996</v>
      </c>
      <c r="F21" s="62">
        <f>SUM([16]LIM_SocAss!$M$185:$M$190,[16]LIM_SocAss!$M$192)/1000</f>
        <v>2032.31</v>
      </c>
      <c r="G21" s="61">
        <f>2155.142-11.321</f>
        <v>2143.8209999999999</v>
      </c>
      <c r="H21" s="61">
        <f>2222.73-13.048</f>
        <v>2209.6820000000002</v>
      </c>
      <c r="I21" s="61">
        <f>2315.499-21.228</f>
        <v>2294.2709999999997</v>
      </c>
      <c r="J21" s="61">
        <f>2380.548-28.349</f>
        <v>2352.1989999999996</v>
      </c>
      <c r="K21" s="61">
        <f>2426.212-37.145</f>
        <v>2389.067</v>
      </c>
      <c r="L21" s="61">
        <f>2477.316-44.496</f>
        <v>2432.8199999999997</v>
      </c>
      <c r="M21" s="61">
        <f>2528.08-49.971</f>
        <v>2478.1089999999999</v>
      </c>
      <c r="N21" s="61">
        <f>2593.739-56.679</f>
        <v>2537.06</v>
      </c>
      <c r="O21" s="61">
        <f>2647.292-54.248</f>
        <v>2593.0439999999999</v>
      </c>
      <c r="P21" s="61">
        <f>2690.426-56.198</f>
        <v>2634.2280000000001</v>
      </c>
      <c r="Q21" s="61">
        <f t="shared" si="4"/>
        <v>2675.194432595596</v>
      </c>
      <c r="R21" s="61">
        <f t="shared" si="5"/>
        <v>2715.8110835695447</v>
      </c>
      <c r="S21" s="65">
        <f t="shared" si="6"/>
        <v>2758.7002983090979</v>
      </c>
      <c r="U21" s="91">
        <f t="shared" si="7"/>
        <v>0.14321462806998622</v>
      </c>
    </row>
    <row r="22" spans="1:21" x14ac:dyDescent="0.35">
      <c r="A22" s="20" t="s">
        <v>43</v>
      </c>
      <c r="B22" s="61">
        <v>924.95799999999997</v>
      </c>
      <c r="C22" s="61">
        <f>974.645</f>
        <v>974.64499999999998</v>
      </c>
      <c r="D22" s="61">
        <f>1036.439-1.126</f>
        <v>1035.3130000000001</v>
      </c>
      <c r="E22" s="61">
        <f>1097.08-1.487</f>
        <v>1095.5929999999998</v>
      </c>
      <c r="F22" s="62">
        <f>SUM([16]MPU_SocAss!$M$185:$M$190,[16]MPU_SocAss!$M$192)/1000</f>
        <v>1351.097</v>
      </c>
      <c r="G22" s="61">
        <f>1406.61-2.883</f>
        <v>1403.7269999999999</v>
      </c>
      <c r="H22" s="61">
        <f>1325.217-3.572</f>
        <v>1321.6450000000002</v>
      </c>
      <c r="I22" s="61">
        <f>1389.054-5.154</f>
        <v>1383.9</v>
      </c>
      <c r="J22" s="61">
        <f>1416.666-7.121</f>
        <v>1409.5449999999998</v>
      </c>
      <c r="K22" s="61">
        <f>1438.779-10.262</f>
        <v>1428.5170000000001</v>
      </c>
      <c r="L22" s="61">
        <f>1472.355-16.162</f>
        <v>1456.193</v>
      </c>
      <c r="M22" s="61">
        <f>1500.618-20.01</f>
        <v>1480.6079999999999</v>
      </c>
      <c r="N22" s="61">
        <f>1535.614-23.987</f>
        <v>1511.627</v>
      </c>
      <c r="O22" s="61">
        <f>1555.838-23.409</f>
        <v>1532.4289999999999</v>
      </c>
      <c r="P22" s="61">
        <f>1591.184-23.877</f>
        <v>1567.307</v>
      </c>
      <c r="Q22" s="61">
        <f t="shared" si="4"/>
        <v>1591.6811151381373</v>
      </c>
      <c r="R22" s="61">
        <f t="shared" si="5"/>
        <v>1615.8471180004663</v>
      </c>
      <c r="S22" s="65">
        <f t="shared" si="6"/>
        <v>1641.3652456970074</v>
      </c>
      <c r="U22" s="91">
        <f t="shared" si="7"/>
        <v>8.5209514543344717E-2</v>
      </c>
    </row>
    <row r="23" spans="1:21" x14ac:dyDescent="0.35">
      <c r="A23" s="20" t="s">
        <v>44</v>
      </c>
      <c r="B23" s="61">
        <v>303.97399999999999</v>
      </c>
      <c r="C23" s="61">
        <f>329.367</f>
        <v>329.36700000000002</v>
      </c>
      <c r="D23" s="61">
        <f>360.406-3.53</f>
        <v>356.87600000000003</v>
      </c>
      <c r="E23" s="61">
        <f>387.32-3.739</f>
        <v>383.58100000000002</v>
      </c>
      <c r="F23" s="62">
        <f>SUM([16]NC_SocAss!$M$185:$M$190,[16]NC_SocAss!$M$192)/1000</f>
        <v>400.84699999999998</v>
      </c>
      <c r="G23" s="61">
        <f>425.824-4.214</f>
        <v>421.61</v>
      </c>
      <c r="H23" s="61">
        <f>424.815-4.755</f>
        <v>420.06</v>
      </c>
      <c r="I23" s="61">
        <f>446.26-6.587</f>
        <v>439.673</v>
      </c>
      <c r="J23" s="61">
        <f>454.515-7.311</f>
        <v>447.20400000000001</v>
      </c>
      <c r="K23" s="61">
        <f>465.908-8.761</f>
        <v>457.14699999999999</v>
      </c>
      <c r="L23" s="61">
        <f>475.414-10.715</f>
        <v>464.69900000000001</v>
      </c>
      <c r="M23" s="61">
        <f>482.705-13.006</f>
        <v>469.69899999999996</v>
      </c>
      <c r="N23" s="61">
        <f>494.619-17.267</f>
        <v>477.35200000000003</v>
      </c>
      <c r="O23" s="61">
        <f>502.725-18.296</f>
        <v>484.42900000000003</v>
      </c>
      <c r="P23" s="61">
        <f>508.108-21.162</f>
        <v>486.94600000000003</v>
      </c>
      <c r="Q23" s="61">
        <f t="shared" si="4"/>
        <v>494.51878431733894</v>
      </c>
      <c r="R23" s="61">
        <f t="shared" si="5"/>
        <v>502.02691031294773</v>
      </c>
      <c r="S23" s="65">
        <f t="shared" si="6"/>
        <v>509.95512744546863</v>
      </c>
      <c r="U23" s="91">
        <f t="shared" si="7"/>
        <v>2.6473710810213661E-2</v>
      </c>
    </row>
    <row r="24" spans="1:21" x14ac:dyDescent="0.35">
      <c r="A24" s="20" t="s">
        <v>45</v>
      </c>
      <c r="B24" s="61">
        <v>982.904</v>
      </c>
      <c r="C24" s="61">
        <f>1020.906</f>
        <v>1020.9059999999999</v>
      </c>
      <c r="D24" s="61">
        <f>1075.43-1.923</f>
        <v>1073.5070000000001</v>
      </c>
      <c r="E24" s="61">
        <f>1120.774-2.782</f>
        <v>1117.992</v>
      </c>
      <c r="F24" s="62">
        <f>SUM([16]NW_SocAss!$M$185:$M$190,[16]NW_SocAss!$M$192)/1000</f>
        <v>1171.874</v>
      </c>
      <c r="G24" s="61">
        <f>1109.001-4.092</f>
        <v>1104.9089999999999</v>
      </c>
      <c r="H24" s="61">
        <f>1120.034-5.142</f>
        <v>1114.8920000000001</v>
      </c>
      <c r="I24" s="61">
        <f>1170.505-7.217</f>
        <v>1163.288</v>
      </c>
      <c r="J24" s="61">
        <f>1193.089-8.134</f>
        <v>1184.9549999999999</v>
      </c>
      <c r="K24" s="61">
        <f>1209.657-9.392</f>
        <v>1200.2649999999999</v>
      </c>
      <c r="L24" s="61">
        <f>1228.597-11.11</f>
        <v>1217.4870000000001</v>
      </c>
      <c r="M24" s="61">
        <f>1240.633-12.446</f>
        <v>1228.1870000000001</v>
      </c>
      <c r="N24" s="61">
        <f>1275.374-16.76</f>
        <v>1258.614</v>
      </c>
      <c r="O24" s="61">
        <f>1291.307-16.919</f>
        <v>1274.3879999999999</v>
      </c>
      <c r="P24" s="61">
        <f>1304.655-17.676</f>
        <v>1286.979</v>
      </c>
      <c r="Q24" s="61">
        <f t="shared" si="4"/>
        <v>1306.9935691471837</v>
      </c>
      <c r="R24" s="61">
        <f t="shared" si="5"/>
        <v>1326.8372489098322</v>
      </c>
      <c r="S24" s="65">
        <f t="shared" si="6"/>
        <v>1347.791212916097</v>
      </c>
      <c r="U24" s="91">
        <f t="shared" si="7"/>
        <v>6.996896958762977E-2</v>
      </c>
    </row>
    <row r="25" spans="1:21" x14ac:dyDescent="0.35">
      <c r="A25" s="66" t="s">
        <v>46</v>
      </c>
      <c r="B25" s="67">
        <v>821.76</v>
      </c>
      <c r="C25" s="67">
        <f>884.63</f>
        <v>884.63</v>
      </c>
      <c r="D25" s="67">
        <f>1035.807-7.824</f>
        <v>1027.9829999999999</v>
      </c>
      <c r="E25" s="67">
        <f>1155.483-8.468</f>
        <v>1147.0149999999999</v>
      </c>
      <c r="F25" s="62">
        <f>SUM([16]WC_SocAss!$M$185:$M$190,[16]WC_SocAss!$M$192)/1000</f>
        <v>1240.6790000000001</v>
      </c>
      <c r="G25" s="67">
        <f>1325.358-9.62</f>
        <v>1315.7380000000001</v>
      </c>
      <c r="H25" s="67">
        <f>1338.772-10.034</f>
        <v>1328.7379999999998</v>
      </c>
      <c r="I25" s="67">
        <f>1438.061-12.093</f>
        <v>1425.9679999999998</v>
      </c>
      <c r="J25" s="67">
        <f>1482.529-13.976</f>
        <v>1468.5529999999999</v>
      </c>
      <c r="K25" s="67">
        <f>1523.979-16.129</f>
        <v>1507.8500000000001</v>
      </c>
      <c r="L25" s="67">
        <f>1565.731-18.938</f>
        <v>1546.7929999999999</v>
      </c>
      <c r="M25" s="67">
        <f>1600.492-21.821</f>
        <v>1578.671</v>
      </c>
      <c r="N25" s="67">
        <f>1645.87-25.141</f>
        <v>1620.7289999999998</v>
      </c>
      <c r="O25" s="67">
        <f>1640.057-23.929</f>
        <v>1616.1279999999999</v>
      </c>
      <c r="P25" s="67">
        <f>1648.346-23.631</f>
        <v>1624.7149999999999</v>
      </c>
      <c r="Q25" s="61">
        <f t="shared" si="4"/>
        <v>1649.9819007901187</v>
      </c>
      <c r="R25" s="61">
        <f t="shared" si="5"/>
        <v>1675.0330664778039</v>
      </c>
      <c r="S25" s="65">
        <f t="shared" si="6"/>
        <v>1701.4858832140822</v>
      </c>
      <c r="U25" s="91">
        <f t="shared" si="7"/>
        <v>8.8330605568207321E-2</v>
      </c>
    </row>
    <row r="26" spans="1:21" x14ac:dyDescent="0.35">
      <c r="A26" s="87" t="s">
        <v>34</v>
      </c>
      <c r="B26" s="88">
        <f>SUM(B17:B25)</f>
        <v>12386.396000000002</v>
      </c>
      <c r="C26" s="88">
        <f>SUM(C17:C25)</f>
        <v>13026.103999999998</v>
      </c>
      <c r="D26" s="88">
        <f t="shared" ref="D26:J26" si="8">SUM(D17:D25)</f>
        <v>14004.128000000001</v>
      </c>
      <c r="E26" s="88">
        <f t="shared" si="8"/>
        <v>14877.418999999998</v>
      </c>
      <c r="F26" s="88">
        <f t="shared" si="8"/>
        <v>15529.211999999998</v>
      </c>
      <c r="G26" s="88">
        <f>SUM(G17:G25)</f>
        <v>16032.390999999998</v>
      </c>
      <c r="H26" s="88">
        <f t="shared" si="8"/>
        <v>15849.414000000001</v>
      </c>
      <c r="I26" s="88">
        <f t="shared" si="8"/>
        <v>16529.556</v>
      </c>
      <c r="J26" s="88">
        <f t="shared" si="8"/>
        <v>16853.828000000001</v>
      </c>
      <c r="K26" s="88">
        <f t="shared" ref="K26" si="9">SUM(K17:K25)</f>
        <v>17036.175999999999</v>
      </c>
      <c r="L26" s="88">
        <f t="shared" ref="L26" si="10">SUM(L17:L25)</f>
        <v>17317.904000000002</v>
      </c>
      <c r="M26" s="88">
        <f t="shared" ref="M26" si="11">SUM(M17:M25)</f>
        <v>17589.756000000001</v>
      </c>
      <c r="N26" s="88">
        <f t="shared" ref="N26" si="12">SUM(N17:N25)</f>
        <v>18016.670000000002</v>
      </c>
      <c r="O26" s="88">
        <f t="shared" ref="O26" si="13">SUM(O17:O25)</f>
        <v>18172.66</v>
      </c>
      <c r="P26" s="88">
        <f t="shared" ref="P26" si="14">SUM(P17:P25)</f>
        <v>18393.567999999999</v>
      </c>
      <c r="Q26" s="88">
        <f>Q10</f>
        <v>18679.617219606087</v>
      </c>
      <c r="R26" s="88">
        <f t="shared" ref="R26:S26" si="15">R10</f>
        <v>18963.224079612737</v>
      </c>
      <c r="S26" s="89">
        <f t="shared" si="15"/>
        <v>19262.6991773562</v>
      </c>
      <c r="U26" s="91">
        <f t="shared" si="7"/>
        <v>1</v>
      </c>
    </row>
    <row r="27" spans="1:21" x14ac:dyDescent="0.35">
      <c r="A27" s="51" t="s">
        <v>55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</row>
    <row r="28" spans="1:21" x14ac:dyDescent="0.35">
      <c r="A28" s="51" t="s">
        <v>56</v>
      </c>
    </row>
  </sheetData>
  <mergeCells count="2">
    <mergeCell ref="B3:P3"/>
    <mergeCell ref="Q3:S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7EAB2-707D-4FE4-AF18-BBC7718CE411}">
  <dimension ref="A1:P31"/>
  <sheetViews>
    <sheetView tabSelected="1" workbookViewId="0">
      <selection activeCell="L32" sqref="L32"/>
    </sheetView>
  </sheetViews>
  <sheetFormatPr defaultRowHeight="14.5" x14ac:dyDescent="0.35"/>
  <cols>
    <col min="1" max="1" width="14.6328125" customWidth="1"/>
    <col min="3" max="3" width="10" bestFit="1" customWidth="1"/>
    <col min="6" max="9" width="10.6328125" customWidth="1"/>
  </cols>
  <sheetData>
    <row r="1" spans="1:16" ht="15.5" x14ac:dyDescent="0.35">
      <c r="A1" s="100" t="s">
        <v>47</v>
      </c>
      <c r="B1" s="96"/>
      <c r="C1" s="97"/>
      <c r="D1" s="97"/>
      <c r="E1" s="98"/>
      <c r="F1" s="93" t="s">
        <v>49</v>
      </c>
      <c r="G1" s="93" t="s">
        <v>50</v>
      </c>
      <c r="H1" s="94" t="s">
        <v>49</v>
      </c>
      <c r="I1" s="93" t="s">
        <v>50</v>
      </c>
    </row>
    <row r="2" spans="1:16" x14ac:dyDescent="0.35">
      <c r="A2" s="83" t="s">
        <v>37</v>
      </c>
      <c r="B2" s="9" t="s">
        <v>10</v>
      </c>
      <c r="C2" s="9" t="s">
        <v>11</v>
      </c>
      <c r="D2" s="9" t="s">
        <v>12</v>
      </c>
      <c r="E2" s="10" t="s">
        <v>13</v>
      </c>
      <c r="F2" s="113" t="s">
        <v>14</v>
      </c>
      <c r="G2" s="114"/>
      <c r="H2" s="113" t="s">
        <v>15</v>
      </c>
      <c r="I2" s="114"/>
    </row>
    <row r="3" spans="1:16" x14ac:dyDescent="0.35">
      <c r="A3" s="20" t="s">
        <v>38</v>
      </c>
      <c r="B3" s="56">
        <f>SUM('[15]SRD Statistics 201603 to 202203'!C5:N5)</f>
        <v>107156</v>
      </c>
      <c r="C3" s="56">
        <f>SUM('[15]SRD Statistics 201603 to 202203'!O5:Z5)</f>
        <v>92313</v>
      </c>
      <c r="D3" s="56">
        <f>SUM('[15]SRD Statistics 201603 to 202203'!AA5:AL5)</f>
        <v>80748</v>
      </c>
      <c r="E3" s="56">
        <f>SUM('[15]SRD Statistics 201603 to 202203'!AM5:AX5)</f>
        <v>71279</v>
      </c>
      <c r="F3" s="61">
        <f>SUM('[15]SRD Statistics 201603 to 202203'!AY5:BJ5)</f>
        <v>20944</v>
      </c>
      <c r="G3" s="61">
        <f>AVERAGE('[17]Total approved'!B3:L3)</f>
        <v>756161.63636363635</v>
      </c>
      <c r="H3" s="61">
        <f>SUM('[15]SRD Statistics 201603 to 202203'!BK5:BV5)</f>
        <v>18377</v>
      </c>
      <c r="I3" s="61">
        <f>AVERAGE('[17]Total approved'!M4,'[18]Total approved'!B3,'[18]Total approved'!E3,'[18]Total approved'!H3,'[18]Total approved'!K3,'[18]Total approved'!N3,'[18]Total approved'!Q3,'[18]Total approved'!T3,'[18]Total approved'!W3)</f>
        <v>1203179.3333333333</v>
      </c>
    </row>
    <row r="4" spans="1:16" x14ac:dyDescent="0.35">
      <c r="A4" s="20" t="s">
        <v>39</v>
      </c>
      <c r="B4" s="56">
        <f>SUM('[15]SRD Statistics 201603 to 202203'!C6:N6)</f>
        <v>41781</v>
      </c>
      <c r="C4" s="56">
        <f>SUM('[15]SRD Statistics 201603 to 202203'!O6:Z6)</f>
        <v>39990</v>
      </c>
      <c r="D4" s="56">
        <f>SUM('[15]SRD Statistics 201603 to 202203'!AA6:AL6)</f>
        <v>29333</v>
      </c>
      <c r="E4" s="56">
        <f>SUM('[15]SRD Statistics 201603 to 202203'!AM6:AX6)</f>
        <v>18305</v>
      </c>
      <c r="F4" s="56">
        <f>SUM('[15]SRD Statistics 201603 to 202203'!AY6:BJ6)</f>
        <v>11739</v>
      </c>
      <c r="G4" s="56">
        <f>AVERAGE('[17]Total approved'!B4:L4)</f>
        <v>307587.36363636365</v>
      </c>
      <c r="H4" s="56">
        <f>SUM('[15]SRD Statistics 201603 to 202203'!BK6:BV6)</f>
        <v>7431</v>
      </c>
      <c r="I4" s="61">
        <f>AVERAGE('[17]Total approved'!M5,'[18]Total approved'!B4,'[18]Total approved'!E4,'[18]Total approved'!H4,'[18]Total approved'!K4,'[18]Total approved'!N4,'[18]Total approved'!Q4,'[18]Total approved'!T4,'[18]Total approved'!W4)</f>
        <v>637681.11111111112</v>
      </c>
    </row>
    <row r="5" spans="1:16" x14ac:dyDescent="0.35">
      <c r="A5" s="20" t="s">
        <v>40</v>
      </c>
      <c r="B5" s="56">
        <f>SUM('[15]SRD Statistics 201603 to 202203'!C7:N7)</f>
        <v>69666</v>
      </c>
      <c r="C5" s="56">
        <f>SUM('[15]SRD Statistics 201603 to 202203'!O7:Z7)</f>
        <v>90380</v>
      </c>
      <c r="D5" s="56">
        <f>SUM('[15]SRD Statistics 201603 to 202203'!AA7:AL7)</f>
        <v>74418</v>
      </c>
      <c r="E5" s="56">
        <f>SUM('[15]SRD Statistics 201603 to 202203'!AM7:AX7)</f>
        <v>58196</v>
      </c>
      <c r="F5" s="56">
        <f>SUM('[15]SRD Statistics 201603 to 202203'!AY7:BJ7)</f>
        <v>13208</v>
      </c>
      <c r="G5" s="56">
        <f>AVERAGE('[17]Total approved'!B5:L5)</f>
        <v>1207838</v>
      </c>
      <c r="H5" s="56">
        <f>SUM('[15]SRD Statistics 201603 to 202203'!BK7:BV7)</f>
        <v>9517</v>
      </c>
      <c r="I5" s="61">
        <f>AVERAGE('[17]Total approved'!M6,'[18]Total approved'!B5,'[18]Total approved'!E5,'[18]Total approved'!H5,'[18]Total approved'!K5,'[18]Total approved'!N5,'[18]Total approved'!Q5,'[18]Total approved'!T5,'[18]Total approved'!W5)</f>
        <v>1878111.888888889</v>
      </c>
    </row>
    <row r="6" spans="1:16" x14ac:dyDescent="0.35">
      <c r="A6" s="20" t="s">
        <v>41</v>
      </c>
      <c r="B6" s="56">
        <f>SUM('[15]SRD Statistics 201603 to 202203'!C8:N8)</f>
        <v>99939</v>
      </c>
      <c r="C6" s="56">
        <f>SUM('[15]SRD Statistics 201603 to 202203'!O8:Z8)</f>
        <v>99382</v>
      </c>
      <c r="D6" s="56">
        <f>SUM('[15]SRD Statistics 201603 to 202203'!AA8:AL8)</f>
        <v>78822</v>
      </c>
      <c r="E6" s="56">
        <f>SUM('[15]SRD Statistics 201603 to 202203'!AM8:AX8)</f>
        <v>80729</v>
      </c>
      <c r="F6" s="56">
        <f>SUM('[15]SRD Statistics 201603 to 202203'!AY8:BJ8)</f>
        <v>25948</v>
      </c>
      <c r="G6" s="56">
        <f>AVERAGE('[17]Total approved'!B6:L6)</f>
        <v>1275813</v>
      </c>
      <c r="H6" s="56">
        <f>SUM('[15]SRD Statistics 201603 to 202203'!BK8:BV8)</f>
        <v>50671</v>
      </c>
      <c r="I6" s="61">
        <f>AVERAGE('[17]Total approved'!M7,'[18]Total approved'!B6,'[18]Total approved'!E6,'[18]Total approved'!H6,'[18]Total approved'!K6,'[18]Total approved'!N6,'[18]Total approved'!Q6,'[18]Total approved'!T6,'[18]Total approved'!W6)</f>
        <v>2133937.6666666665</v>
      </c>
    </row>
    <row r="7" spans="1:16" x14ac:dyDescent="0.35">
      <c r="A7" s="20" t="s">
        <v>42</v>
      </c>
      <c r="B7" s="56">
        <f>SUM('[15]SRD Statistics 201603 to 202203'!C9:N9)</f>
        <v>114082</v>
      </c>
      <c r="C7" s="56">
        <f>SUM('[15]SRD Statistics 201603 to 202203'!O9:Z9)</f>
        <v>96333</v>
      </c>
      <c r="D7" s="56">
        <f>SUM('[15]SRD Statistics 201603 to 202203'!AA9:AL9)</f>
        <v>82555</v>
      </c>
      <c r="E7" s="56">
        <f>SUM('[15]SRD Statistics 201603 to 202203'!AM9:AX9)</f>
        <v>39588</v>
      </c>
      <c r="F7" s="56">
        <f>SUM('[15]SRD Statistics 201603 to 202203'!AY9:BJ9)</f>
        <v>31120</v>
      </c>
      <c r="G7" s="56">
        <f>AVERAGE('[17]Total approved'!B7:L7)</f>
        <v>788660.90909090906</v>
      </c>
      <c r="H7" s="56">
        <f>SUM('[15]SRD Statistics 201603 to 202203'!BK9:BV9)</f>
        <v>53304</v>
      </c>
      <c r="I7" s="61">
        <f>AVERAGE('[17]Total approved'!M8,'[18]Total approved'!B7,'[18]Total approved'!E7,'[18]Total approved'!H7,'[18]Total approved'!K7,'[18]Total approved'!N7,'[18]Total approved'!Q7,'[18]Total approved'!T7,'[18]Total approved'!W7)</f>
        <v>1330041.111111111</v>
      </c>
    </row>
    <row r="8" spans="1:16" x14ac:dyDescent="0.35">
      <c r="A8" s="20" t="s">
        <v>43</v>
      </c>
      <c r="B8" s="56">
        <f>SUM('[15]SRD Statistics 201603 to 202203'!C10:N10)</f>
        <v>50761</v>
      </c>
      <c r="C8" s="56">
        <f>SUM('[15]SRD Statistics 201603 to 202203'!O10:Z10)</f>
        <v>46557</v>
      </c>
      <c r="D8" s="56">
        <f>SUM('[15]SRD Statistics 201603 to 202203'!AA10:AL10)</f>
        <v>32265</v>
      </c>
      <c r="E8" s="56">
        <f>SUM('[15]SRD Statistics 201603 to 202203'!AM10:AX10)</f>
        <v>21818</v>
      </c>
      <c r="F8" s="56">
        <f>SUM('[15]SRD Statistics 201603 to 202203'!AY10:BJ10)</f>
        <v>11912</v>
      </c>
      <c r="G8" s="56">
        <f>AVERAGE('[17]Total approved'!B8:L8)</f>
        <v>479516.18181818182</v>
      </c>
      <c r="H8" s="56">
        <f>SUM('[15]SRD Statistics 201603 to 202203'!BK10:BV10)</f>
        <v>7823</v>
      </c>
      <c r="I8" s="61">
        <f>AVERAGE('[17]Total approved'!M9,'[18]Total approved'!B8,'[18]Total approved'!E8,'[18]Total approved'!H8,'[18]Total approved'!K8,'[18]Total approved'!N8,'[18]Total approved'!Q8,'[18]Total approved'!T8,'[18]Total approved'!W8)</f>
        <v>840801.22222222225</v>
      </c>
    </row>
    <row r="9" spans="1:16" x14ac:dyDescent="0.35">
      <c r="A9" s="20" t="s">
        <v>44</v>
      </c>
      <c r="B9" s="56">
        <f>SUM('[15]SRD Statistics 201603 to 202203'!C11:N11)</f>
        <v>24125</v>
      </c>
      <c r="C9" s="56">
        <f>SUM('[15]SRD Statistics 201603 to 202203'!O11:Z11)</f>
        <v>36110</v>
      </c>
      <c r="D9" s="56">
        <f>SUM('[15]SRD Statistics 201603 to 202203'!AA11:AL11)</f>
        <v>17548</v>
      </c>
      <c r="E9" s="56">
        <f>SUM('[15]SRD Statistics 201603 to 202203'!AM11:AX11)</f>
        <v>8224</v>
      </c>
      <c r="F9" s="56">
        <f>SUM('[15]SRD Statistics 201603 to 202203'!AY11:BJ11)</f>
        <v>3805</v>
      </c>
      <c r="G9" s="56">
        <f>AVERAGE('[17]Total approved'!B9:L9)</f>
        <v>397210.27272727271</v>
      </c>
      <c r="H9" s="56">
        <f>SUM('[15]SRD Statistics 201603 to 202203'!BK11:BV11)</f>
        <v>9089</v>
      </c>
      <c r="I9" s="61">
        <f>AVERAGE('[17]Total approved'!M10,'[18]Total approved'!B9,'[18]Total approved'!E9,'[18]Total approved'!H9,'[18]Total approved'!K9,'[18]Total approved'!N9,'[18]Total approved'!Q9,'[18]Total approved'!T9,'[18]Total approved'!W9)</f>
        <v>659635.22222222225</v>
      </c>
    </row>
    <row r="10" spans="1:16" x14ac:dyDescent="0.35">
      <c r="A10" s="20" t="s">
        <v>45</v>
      </c>
      <c r="B10" s="56">
        <f>SUM('[15]SRD Statistics 201603 to 202203'!C12:N12)</f>
        <v>35085</v>
      </c>
      <c r="C10" s="56">
        <f>SUM('[15]SRD Statistics 201603 to 202203'!O12:Z12)</f>
        <v>34106</v>
      </c>
      <c r="D10" s="56">
        <f>SUM('[15]SRD Statistics 201603 to 202203'!AA12:AL12)</f>
        <v>23913</v>
      </c>
      <c r="E10" s="56">
        <f>SUM('[15]SRD Statistics 201603 to 202203'!AM12:AX12)</f>
        <v>18242</v>
      </c>
      <c r="F10" s="56">
        <f>SUM('[15]SRD Statistics 201603 to 202203'!AY12:BJ12)</f>
        <v>7999</v>
      </c>
      <c r="G10" s="56">
        <f>AVERAGE('[17]Total approved'!B10:L10)</f>
        <v>113422.90909090909</v>
      </c>
      <c r="H10" s="56">
        <f>SUM('[15]SRD Statistics 201603 to 202203'!BK12:BV12)</f>
        <v>9823</v>
      </c>
      <c r="I10" s="61">
        <f>AVERAGE('[17]Total approved'!M11,'[18]Total approved'!B10,'[18]Total approved'!E10,'[18]Total approved'!H10,'[18]Total approved'!K10,'[18]Total approved'!N10,'[18]Total approved'!Q10,'[18]Total approved'!T10,'[18]Total approved'!W10)</f>
        <v>218865.22222222222</v>
      </c>
      <c r="P10" s="99"/>
    </row>
    <row r="11" spans="1:16" x14ac:dyDescent="0.35">
      <c r="A11" s="66" t="s">
        <v>46</v>
      </c>
      <c r="B11" s="95">
        <f>SUM('[15]SRD Statistics 201603 to 202203'!C13:N13)</f>
        <v>37785</v>
      </c>
      <c r="C11" s="95">
        <f>SUM('[15]SRD Statistics 201603 to 202203'!O13:Z13)</f>
        <v>37235</v>
      </c>
      <c r="D11" s="95">
        <f>SUM('[15]SRD Statistics 201603 to 202203'!AA13:AL13)</f>
        <v>24085</v>
      </c>
      <c r="E11" s="95">
        <f>SUM('[15]SRD Statistics 201603 to 202203'!AM13:AX13)</f>
        <v>28101</v>
      </c>
      <c r="F11" s="95">
        <f>SUM('[15]SRD Statistics 201603 to 202203'!AY13:BJ13)</f>
        <v>14142</v>
      </c>
      <c r="G11" s="95">
        <f>AVERAGE('[17]Total approved'!B11:L11)</f>
        <v>387469.54545454547</v>
      </c>
      <c r="H11" s="95">
        <f>SUM('[15]SRD Statistics 201603 to 202203'!BK13:BV13)</f>
        <v>1758</v>
      </c>
      <c r="I11" s="61">
        <f>AVERAGE('[17]Total approved'!M12,'[18]Total approved'!B11,'[18]Total approved'!E11,'[18]Total approved'!H11,'[18]Total approved'!K11,'[18]Total approved'!N11,'[18]Total approved'!Q11,'[18]Total approved'!T11,'[18]Total approved'!W11)</f>
        <v>1217909.2222222222</v>
      </c>
    </row>
    <row r="12" spans="1:16" x14ac:dyDescent="0.35">
      <c r="A12" s="87" t="s">
        <v>34</v>
      </c>
      <c r="B12" s="88">
        <f>SUM(B3:B11)</f>
        <v>580380</v>
      </c>
      <c r="C12" s="88">
        <f>SUM(C3:C11)</f>
        <v>572406</v>
      </c>
      <c r="D12" s="88">
        <f t="shared" ref="D12:I12" si="0">SUM(D3:D11)</f>
        <v>443687</v>
      </c>
      <c r="E12" s="88">
        <f t="shared" si="0"/>
        <v>344482</v>
      </c>
      <c r="F12" s="88">
        <f t="shared" si="0"/>
        <v>140817</v>
      </c>
      <c r="G12" s="88">
        <f t="shared" si="0"/>
        <v>5713679.8181818184</v>
      </c>
      <c r="H12" s="88">
        <f t="shared" si="0"/>
        <v>167793</v>
      </c>
      <c r="I12" s="88">
        <f t="shared" si="0"/>
        <v>10120162</v>
      </c>
    </row>
    <row r="13" spans="1:16" x14ac:dyDescent="0.35">
      <c r="A13" s="51" t="s">
        <v>51</v>
      </c>
    </row>
    <row r="15" spans="1:16" ht="15.5" x14ac:dyDescent="0.35">
      <c r="A15" s="101" t="s">
        <v>48</v>
      </c>
      <c r="G15" s="102"/>
      <c r="H15" s="102"/>
      <c r="I15" s="102"/>
      <c r="J15" s="102"/>
      <c r="K15" s="102"/>
    </row>
    <row r="16" spans="1:16" x14ac:dyDescent="0.35">
      <c r="A16" s="55" t="s">
        <v>33</v>
      </c>
      <c r="B16" s="9" t="s">
        <v>10</v>
      </c>
      <c r="C16" s="9" t="s">
        <v>11</v>
      </c>
      <c r="D16" s="9" t="s">
        <v>12</v>
      </c>
      <c r="E16" s="10" t="s">
        <v>13</v>
      </c>
      <c r="F16" s="113" t="s">
        <v>14</v>
      </c>
      <c r="G16" s="114"/>
      <c r="H16" s="113" t="s">
        <v>15</v>
      </c>
      <c r="I16" s="114"/>
      <c r="J16" s="102"/>
      <c r="K16" s="102"/>
    </row>
    <row r="17" spans="1:9" x14ac:dyDescent="0.35">
      <c r="A17" s="20" t="s">
        <v>38</v>
      </c>
      <c r="B17" s="56">
        <f>([6]EC!$N$133)/1000-1</f>
        <v>94.745461849999998</v>
      </c>
      <c r="C17" s="56">
        <f>([7]EC!$N$133+4569)/1000</f>
        <v>91.839017750000011</v>
      </c>
      <c r="D17" s="56">
        <f>([8]EC!$N$133)/1000</f>
        <v>70.589744180000011</v>
      </c>
      <c r="E17" s="56">
        <f>([19]EC!$N$133+169.98)/1000</f>
        <v>63.002642070000007</v>
      </c>
      <c r="F17" s="56">
        <f>([20]EC!$N$133-9370)/1000</f>
        <v>48.130541289999996</v>
      </c>
      <c r="G17" s="56">
        <f>([11]NATIONAL!$B$12)/1000</f>
        <v>2574.433955</v>
      </c>
      <c r="H17" s="56">
        <v>26.210999999999999</v>
      </c>
      <c r="I17" s="56">
        <f>([21]NATIONAL!$B$12)/1000</f>
        <v>4243.9565000000002</v>
      </c>
    </row>
    <row r="18" spans="1:9" x14ac:dyDescent="0.35">
      <c r="A18" s="20" t="s">
        <v>39</v>
      </c>
      <c r="B18" s="56">
        <f>([6]FS!$N$133)/1000</f>
        <v>33.436122340000004</v>
      </c>
      <c r="C18" s="56">
        <f>([7]FS!$N$133)/1000</f>
        <v>35.834237200000004</v>
      </c>
      <c r="D18" s="56">
        <f>([8]FS!$N$133)/1000</f>
        <v>37.497409489999995</v>
      </c>
      <c r="E18" s="56">
        <f>([19]FS!$N$133)/1000</f>
        <v>26.202776469999996</v>
      </c>
      <c r="F18" s="56">
        <f>([20]FS!$N$133)/1000</f>
        <v>18.79011779</v>
      </c>
      <c r="G18" s="56">
        <f>([11]NATIONAL!$C$12)/1000</f>
        <v>1053.6759529999999</v>
      </c>
      <c r="H18" s="56">
        <v>9.1050000000000004</v>
      </c>
      <c r="I18" s="56">
        <f>([21]NATIONAL!$C$12)/1000</f>
        <v>1800.2494999999999</v>
      </c>
    </row>
    <row r="19" spans="1:9" x14ac:dyDescent="0.35">
      <c r="A19" s="20" t="s">
        <v>40</v>
      </c>
      <c r="B19" s="56">
        <f>([6]GT!$N$133)/1000</f>
        <v>66.673701460000018</v>
      </c>
      <c r="C19" s="56">
        <f>([7]GT!$N$133)/1000</f>
        <v>67.374033049999994</v>
      </c>
      <c r="D19" s="56">
        <f>([8]GT!$N$133)/1000</f>
        <v>61.868897230000002</v>
      </c>
      <c r="E19" s="56">
        <f>([19]GT!$N$133)/1000</f>
        <v>61.058493890000001</v>
      </c>
      <c r="F19" s="56">
        <f>([20]GT!$N$133)/1000</f>
        <v>18.401987459999997</v>
      </c>
      <c r="G19" s="56">
        <f>([11]NATIONAL!$D$12)/1000</f>
        <v>4168.6404499999999</v>
      </c>
      <c r="H19" s="56">
        <v>4.0030000000000001</v>
      </c>
      <c r="I19" s="56">
        <v>6400.8530000000001</v>
      </c>
    </row>
    <row r="20" spans="1:9" x14ac:dyDescent="0.35">
      <c r="A20" s="20" t="s">
        <v>41</v>
      </c>
      <c r="B20" s="56">
        <f>([6]KZN!$N$133)/1000</f>
        <v>124.24740507999999</v>
      </c>
      <c r="C20" s="56">
        <f>([7]KZN!$N$133)/1000</f>
        <v>128.50739921000002</v>
      </c>
      <c r="D20" s="56">
        <f>([8]KZN!$N$133)/1000</f>
        <v>77.03562823</v>
      </c>
      <c r="E20" s="56">
        <f>([19]KZN!$N$133)/1000</f>
        <v>95.81876487000001</v>
      </c>
      <c r="F20" s="56">
        <f>([20]KZN!$N$133)/1000</f>
        <v>31.707735640000003</v>
      </c>
      <c r="G20" s="56">
        <f>([11]NATIONAL!$E$12)/1000</f>
        <v>4325.9093500000008</v>
      </c>
      <c r="H20" s="56">
        <v>46.944000000000003</v>
      </c>
      <c r="I20" s="56">
        <f>([21]NATIONAL!$E$12)/1000</f>
        <v>7361.4720137000004</v>
      </c>
    </row>
    <row r="21" spans="1:9" x14ac:dyDescent="0.35">
      <c r="A21" s="20" t="s">
        <v>42</v>
      </c>
      <c r="B21" s="56">
        <f>([6]LIM!$N$133)/1000</f>
        <v>81.213378350000013</v>
      </c>
      <c r="C21" s="56">
        <f>([7]LIM!$N$133)/1000</f>
        <v>81.839946520000012</v>
      </c>
      <c r="D21" s="56">
        <f>([8]LIM!$N$133)/1000</f>
        <v>58.182965499999995</v>
      </c>
      <c r="E21" s="56">
        <f>([19]LIM!$N$133)/1000</f>
        <v>50.281996089999993</v>
      </c>
      <c r="F21" s="56">
        <f>([20]LIM!$N$133)/1000</f>
        <v>41.783012410000005</v>
      </c>
      <c r="G21" s="56">
        <f>([11]NATIONAL!$F$12)/1000</f>
        <v>2716.3047499999998</v>
      </c>
      <c r="H21" s="56">
        <v>23.449000000000002</v>
      </c>
      <c r="I21" s="56">
        <v>4647.9125000000004</v>
      </c>
    </row>
    <row r="22" spans="1:9" x14ac:dyDescent="0.35">
      <c r="A22" s="20" t="s">
        <v>43</v>
      </c>
      <c r="B22" s="56">
        <f>([6]MPU!$N$133)/1000</f>
        <v>47.518014120000004</v>
      </c>
      <c r="C22" s="56">
        <f>([7]MPU!$N$133)/1000</f>
        <v>41.16664042</v>
      </c>
      <c r="D22" s="56">
        <f>([8]MPU!$N$133)/1000</f>
        <v>34.12942906</v>
      </c>
      <c r="E22" s="56">
        <f>([19]MPU!$N$133)/1000</f>
        <v>31.369266189999994</v>
      </c>
      <c r="F22" s="56">
        <f>([20]MPU!$N$133)/1000</f>
        <v>10.081797229999998</v>
      </c>
      <c r="G22" s="56">
        <f>([11]NATIONAL!$G$12)/1000</f>
        <v>1640.8734999999999</v>
      </c>
      <c r="H22" s="56">
        <v>6.6520000000000001</v>
      </c>
      <c r="I22" s="56">
        <f>([21]NATIONAL!$G$12)/1000</f>
        <v>2867.4261000000001</v>
      </c>
    </row>
    <row r="23" spans="1:9" x14ac:dyDescent="0.35">
      <c r="A23" s="20" t="s">
        <v>44</v>
      </c>
      <c r="B23" s="56">
        <f>([6]NC!$N$133)/1000</f>
        <v>18.590356870000001</v>
      </c>
      <c r="C23" s="56">
        <f>([7]NC!$N$133)/1000</f>
        <v>21.954004043333331</v>
      </c>
      <c r="D23" s="56">
        <f>([8]NC!$N$133)/1000</f>
        <v>21.957256580000003</v>
      </c>
      <c r="E23" s="56">
        <f>([19]NC!$N$133)/1000</f>
        <v>12.372155680000001</v>
      </c>
      <c r="F23" s="56">
        <f>([20]NC!$N$133)/1000</f>
        <v>13.619671579999999</v>
      </c>
      <c r="G23" s="56">
        <f>([11]NATIONAL!$H$12)/1000</f>
        <v>388.08560000000006</v>
      </c>
      <c r="H23" s="56">
        <v>4.7670000000000003</v>
      </c>
      <c r="I23" s="56">
        <v>627.61500000000001</v>
      </c>
    </row>
    <row r="24" spans="1:9" x14ac:dyDescent="0.35">
      <c r="A24" s="20" t="s">
        <v>45</v>
      </c>
      <c r="B24" s="56">
        <f>([6]NW!$N$133)/1000</f>
        <v>43.905925750000002</v>
      </c>
      <c r="C24" s="56">
        <f>([7]NW!$N$133)/1000</f>
        <v>33.394364889999999</v>
      </c>
      <c r="D24" s="56">
        <f>([8]NW!$N$133)/1000</f>
        <v>30.960361299999995</v>
      </c>
      <c r="E24" s="56">
        <f>([19]NW!$N$133)/1000</f>
        <v>29.757954030000004</v>
      </c>
      <c r="F24" s="56">
        <f>([20]NW!$N$133)/1000</f>
        <v>10.01633678</v>
      </c>
      <c r="G24" s="56">
        <f>([11]NATIONAL!$I$12)/1000</f>
        <v>1354.71775</v>
      </c>
      <c r="H24" s="56">
        <v>11.141999999999999</v>
      </c>
      <c r="I24" s="56">
        <f>([21]NATIONAL!$I$12)/1000</f>
        <v>2323.9222999999997</v>
      </c>
    </row>
    <row r="25" spans="1:9" x14ac:dyDescent="0.35">
      <c r="A25" s="66" t="s">
        <v>46</v>
      </c>
      <c r="B25" s="95">
        <f>([6]WC!$N$133)/1000</f>
        <v>76.308617589999997</v>
      </c>
      <c r="C25" s="95">
        <f>([7]WC!$N$133)/1000</f>
        <v>43.932578990000003</v>
      </c>
      <c r="D25" s="95">
        <f>([8]WC!$N$133)/1000</f>
        <v>24.49786172</v>
      </c>
      <c r="E25" s="95">
        <f>([19]WC!$N$133)/1000</f>
        <v>32.832948160000001</v>
      </c>
      <c r="F25" s="95">
        <f>([20]WC!$N$133)/1000</f>
        <v>23.07282</v>
      </c>
      <c r="G25" s="95">
        <f>([11]NATIONAL!$J$12)/1000</f>
        <v>1318.36824</v>
      </c>
      <c r="H25" s="95">
        <v>7.5149999999999997</v>
      </c>
      <c r="I25" s="95">
        <f>([21]NATIONAL!$J$12)/1000</f>
        <v>2057.29495</v>
      </c>
    </row>
    <row r="26" spans="1:9" x14ac:dyDescent="0.35">
      <c r="A26" s="87" t="s">
        <v>34</v>
      </c>
      <c r="B26" s="88">
        <f t="shared" ref="B26:H26" si="1">SUM(B17:B25)</f>
        <v>586.63898341000004</v>
      </c>
      <c r="C26" s="88">
        <f t="shared" si="1"/>
        <v>545.84222207333335</v>
      </c>
      <c r="D26" s="88">
        <f t="shared" si="1"/>
        <v>416.71955328999996</v>
      </c>
      <c r="E26" s="88">
        <f>SUM(E17:E25)</f>
        <v>402.69699745000003</v>
      </c>
      <c r="F26" s="88">
        <f>SUM(F17:F25)</f>
        <v>215.60402017999999</v>
      </c>
      <c r="G26" s="88">
        <f t="shared" si="1"/>
        <v>19541.009547999998</v>
      </c>
      <c r="H26" s="88">
        <f t="shared" si="1"/>
        <v>139.78799999999998</v>
      </c>
      <c r="I26" s="88">
        <f>SUM(I17:I25)</f>
        <v>32330.701863700004</v>
      </c>
    </row>
    <row r="28" spans="1:9" x14ac:dyDescent="0.35">
      <c r="B28" s="102"/>
      <c r="C28" s="102"/>
      <c r="D28" s="102"/>
      <c r="E28" s="102"/>
      <c r="F28" s="102"/>
      <c r="H28" s="102"/>
    </row>
    <row r="29" spans="1:9" x14ac:dyDescent="0.35">
      <c r="C29" s="92"/>
      <c r="G29" s="50"/>
    </row>
    <row r="31" spans="1:9" x14ac:dyDescent="0.35">
      <c r="G31" s="92"/>
      <c r="H31" s="92"/>
    </row>
  </sheetData>
  <mergeCells count="4">
    <mergeCell ref="F2:G2"/>
    <mergeCell ref="H2:I2"/>
    <mergeCell ref="F16:G16"/>
    <mergeCell ref="H16:I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(a)(i)Spending</vt:lpstr>
      <vt:lpstr>(b)(i)Beneficiaries</vt:lpstr>
      <vt:lpstr>a&amp;b(ii)SRD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Lindi Mzankomo</dc:creator>
  <cp:lastModifiedBy>Nokwanda Mahori</cp:lastModifiedBy>
  <dcterms:created xsi:type="dcterms:W3CDTF">2022-10-31T09:17:11Z</dcterms:created>
  <dcterms:modified xsi:type="dcterms:W3CDTF">2022-11-25T18:13:14Z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4247e-447d-4732-af29-2e529a4288f1_Enabled">
    <vt:lpwstr>true</vt:lpwstr>
  </property>
  <property fmtid="{D5CDD505-2E9C-101B-9397-08002B2CF9AE}" pid="3" name="MSIP_Label_93c4247e-447d-4732-af29-2e529a4288f1_SetDate">
    <vt:lpwstr>2022-10-31T09:19:35Z</vt:lpwstr>
  </property>
  <property fmtid="{D5CDD505-2E9C-101B-9397-08002B2CF9AE}" pid="4" name="MSIP_Label_93c4247e-447d-4732-af29-2e529a4288f1_Method">
    <vt:lpwstr>Standard</vt:lpwstr>
  </property>
  <property fmtid="{D5CDD505-2E9C-101B-9397-08002B2CF9AE}" pid="5" name="MSIP_Label_93c4247e-447d-4732-af29-2e529a4288f1_Name">
    <vt:lpwstr>93c4247e-447d-4732-af29-2e529a4288f1</vt:lpwstr>
  </property>
  <property fmtid="{D5CDD505-2E9C-101B-9397-08002B2CF9AE}" pid="6" name="MSIP_Label_93c4247e-447d-4732-af29-2e529a4288f1_SiteId">
    <vt:lpwstr>1a45348f-02b4-4f9a-a7a8-7786f6dd3245</vt:lpwstr>
  </property>
  <property fmtid="{D5CDD505-2E9C-101B-9397-08002B2CF9AE}" pid="7" name="MSIP_Label_93c4247e-447d-4732-af29-2e529a4288f1_ActionId">
    <vt:lpwstr>299d464f-1a1d-4bdc-8ac8-0ba950c89271</vt:lpwstr>
  </property>
  <property fmtid="{D5CDD505-2E9C-101B-9397-08002B2CF9AE}" pid="8" name="MSIP_Label_93c4247e-447d-4732-af29-2e529a4288f1_ContentBits">
    <vt:lpwstr>0</vt:lpwstr>
  </property>
</Properties>
</file>